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vrn\竜王町\0110上下水道課\水道係\◆　R2～R3 水道料金見直し\R3.10 ホームページ、広報等\"/>
    </mc:Choice>
  </mc:AlternateContent>
  <workbookProtection workbookPassword="CC3D" lockStructure="1"/>
  <bookViews>
    <workbookView xWindow="0" yWindow="0" windowWidth="14370" windowHeight="3690"/>
  </bookViews>
  <sheets>
    <sheet name="計算表" sheetId="1" r:id="rId1"/>
    <sheet name="詳細計算" sheetId="2" state="hidden" r:id="rId2"/>
    <sheet name="改正前詳細計算" sheetId="3" state="hidden" r:id="rId3"/>
    <sheet name="下水道詳細計算" sheetId="4" state="hidden" r:id="rId4"/>
  </sheets>
  <definedNames>
    <definedName name="_xlnm.Print_Area" localSheetId="0">計算表!$A$1:$O$60</definedName>
  </definedNames>
  <calcPr calcId="162913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2" l="1"/>
  <c r="D7" i="3"/>
  <c r="D10" i="3"/>
  <c r="D43" i="3"/>
  <c r="D37" i="3"/>
  <c r="D31" i="3"/>
  <c r="D22" i="3"/>
  <c r="D25" i="3"/>
  <c r="D19" i="3"/>
  <c r="D13" i="3"/>
  <c r="D4" i="3"/>
  <c r="D3" i="3"/>
  <c r="J4" i="3" s="1"/>
  <c r="D9" i="3"/>
  <c r="J11" i="3" s="1"/>
  <c r="D15" i="3"/>
  <c r="J16" i="3" s="1"/>
  <c r="D16" i="3"/>
  <c r="D21" i="3"/>
  <c r="J23" i="3" s="1"/>
  <c r="D27" i="3"/>
  <c r="J28" i="3" s="1"/>
  <c r="D28" i="3"/>
  <c r="D33" i="3"/>
  <c r="D34" i="3"/>
  <c r="D39" i="3"/>
  <c r="D40" i="3"/>
  <c r="D46" i="3" l="1"/>
  <c r="D49" i="3"/>
  <c r="J40" i="3"/>
  <c r="J29" i="3"/>
  <c r="D29" i="3" s="1"/>
  <c r="D30" i="3" s="1"/>
  <c r="D32" i="3" s="1"/>
  <c r="J22" i="3"/>
  <c r="D23" i="3" s="1"/>
  <c r="D24" i="3" s="1"/>
  <c r="D26" i="3" s="1"/>
  <c r="J34" i="3"/>
  <c r="J41" i="3"/>
  <c r="D41" i="3" s="1"/>
  <c r="J35" i="3"/>
  <c r="J17" i="3"/>
  <c r="D17" i="3" s="1"/>
  <c r="J10" i="3"/>
  <c r="D11" i="3" s="1"/>
  <c r="D12" i="3" s="1"/>
  <c r="D14" i="3" s="1"/>
  <c r="J5" i="3"/>
  <c r="D5" i="3" s="1"/>
  <c r="D35" i="3" l="1"/>
  <c r="D36" i="3" s="1"/>
  <c r="D38" i="3" s="1"/>
  <c r="D42" i="3"/>
  <c r="D44" i="3" s="1"/>
  <c r="D18" i="3"/>
  <c r="D20" i="3" s="1"/>
  <c r="D6" i="3"/>
  <c r="D47" i="3" l="1"/>
  <c r="D48" i="3"/>
  <c r="D8" i="3"/>
  <c r="D50" i="3" s="1"/>
  <c r="F57" i="1" s="1"/>
  <c r="N5" i="2" l="1"/>
  <c r="D40" i="2"/>
  <c r="D35" i="2"/>
  <c r="D30" i="2"/>
  <c r="D24" i="2"/>
  <c r="D18" i="2"/>
  <c r="D11" i="2"/>
  <c r="N11" i="2"/>
  <c r="N6" i="2"/>
  <c r="N7" i="2"/>
  <c r="N8" i="2"/>
  <c r="N9" i="2"/>
  <c r="N10" i="2"/>
  <c r="Q5" i="2"/>
  <c r="H12" i="2" s="1"/>
  <c r="Q6" i="4"/>
  <c r="D45" i="2" l="1"/>
  <c r="F42" i="1" s="1"/>
  <c r="H5" i="2"/>
  <c r="D4" i="4"/>
  <c r="H6" i="4"/>
  <c r="P12" i="4" l="1"/>
  <c r="H11" i="4" s="1"/>
  <c r="Q7" i="4"/>
  <c r="H7" i="4" s="1"/>
  <c r="Q8" i="4"/>
  <c r="H8" i="4" s="1"/>
  <c r="Q5" i="4"/>
  <c r="H5" i="4" s="1"/>
  <c r="L12" i="4"/>
  <c r="D11" i="4" s="1"/>
  <c r="D17" i="4" s="1"/>
  <c r="F46" i="1" s="1"/>
  <c r="N5" i="4"/>
  <c r="Q6" i="2"/>
  <c r="Q7" i="2"/>
  <c r="Q8" i="2"/>
  <c r="Q9" i="2"/>
  <c r="D3" i="2"/>
  <c r="J4" i="2" s="1"/>
  <c r="J5" i="2" l="1"/>
  <c r="H25" i="2"/>
  <c r="H19" i="2"/>
  <c r="H13" i="2"/>
  <c r="H6" i="2"/>
  <c r="H31" i="2"/>
  <c r="H7" i="2"/>
  <c r="H26" i="2"/>
  <c r="H20" i="2"/>
  <c r="H14" i="2"/>
  <c r="H41" i="2"/>
  <c r="H16" i="2"/>
  <c r="H33" i="2"/>
  <c r="H28" i="2"/>
  <c r="H22" i="2"/>
  <c r="H36" i="2"/>
  <c r="H9" i="2"/>
  <c r="J9" i="2" s="1"/>
  <c r="H8" i="2"/>
  <c r="H15" i="2"/>
  <c r="H32" i="2"/>
  <c r="H27" i="2"/>
  <c r="H21" i="2"/>
  <c r="J8" i="2"/>
  <c r="J6" i="2"/>
  <c r="J7" i="2"/>
  <c r="D10" i="4"/>
  <c r="D3" i="4"/>
  <c r="D5" i="2" l="1"/>
  <c r="J11" i="4"/>
  <c r="D12" i="4" s="1"/>
  <c r="D13" i="4" s="1"/>
  <c r="J7" i="4"/>
  <c r="J8" i="4"/>
  <c r="J6" i="4"/>
  <c r="J4" i="4"/>
  <c r="J5" i="4"/>
  <c r="D6" i="2" l="1"/>
  <c r="D14" i="4"/>
  <c r="D5" i="4"/>
  <c r="D7" i="2" l="1"/>
  <c r="D6" i="4"/>
  <c r="D19" i="4" s="1"/>
  <c r="D18" i="4"/>
  <c r="F47" i="1" s="1"/>
  <c r="D39" i="2"/>
  <c r="D34" i="2"/>
  <c r="D29" i="2"/>
  <c r="D23" i="2"/>
  <c r="D17" i="2"/>
  <c r="D10" i="2"/>
  <c r="D7" i="4" l="1"/>
  <c r="D20" i="4" s="1"/>
  <c r="F48" i="1"/>
  <c r="J12" i="2"/>
  <c r="J41" i="2"/>
  <c r="J40" i="2"/>
  <c r="J36" i="2"/>
  <c r="J35" i="2"/>
  <c r="J31" i="2"/>
  <c r="J32" i="2"/>
  <c r="J33" i="2"/>
  <c r="J30" i="2"/>
  <c r="J25" i="2"/>
  <c r="J26" i="2"/>
  <c r="J27" i="2"/>
  <c r="J28" i="2"/>
  <c r="J24" i="2"/>
  <c r="J19" i="2"/>
  <c r="J20" i="2"/>
  <c r="J21" i="2"/>
  <c r="J22" i="2"/>
  <c r="J18" i="2"/>
  <c r="J11" i="2"/>
  <c r="J13" i="2"/>
  <c r="J14" i="2"/>
  <c r="J15" i="2"/>
  <c r="J16" i="2"/>
  <c r="F49" i="1" l="1"/>
  <c r="D36" i="2"/>
  <c r="D37" i="2" s="1"/>
  <c r="D38" i="2" s="1"/>
  <c r="D31" i="2"/>
  <c r="D32" i="2" s="1"/>
  <c r="D33" i="2" s="1"/>
  <c r="D41" i="2"/>
  <c r="D42" i="2" s="1"/>
  <c r="D43" i="2" s="1"/>
  <c r="D12" i="2"/>
  <c r="D19" i="2"/>
  <c r="D20" i="2" s="1"/>
  <c r="D21" i="2" s="1"/>
  <c r="D25" i="2"/>
  <c r="D26" i="2" s="1"/>
  <c r="D27" i="2" s="1"/>
  <c r="D46" i="2" l="1"/>
  <c r="F43" i="1" s="1"/>
  <c r="D13" i="2"/>
  <c r="D47" i="2" s="1"/>
  <c r="D14" i="2" l="1"/>
  <c r="F44" i="1"/>
  <c r="F58" i="1" s="1"/>
  <c r="D48" i="2" l="1"/>
  <c r="F45" i="1" s="1"/>
  <c r="F51" i="1" s="1"/>
  <c r="F50" i="1"/>
</calcChain>
</file>

<file path=xl/sharedStrings.xml><?xml version="1.0" encoding="utf-8"?>
<sst xmlns="http://schemas.openxmlformats.org/spreadsheetml/2006/main" count="283" uniqueCount="95">
  <si>
    <t>メーター口径</t>
    <rPh sb="4" eb="6">
      <t>コウケイ</t>
    </rPh>
    <phoneticPr fontId="3"/>
  </si>
  <si>
    <t>mm</t>
    <phoneticPr fontId="3"/>
  </si>
  <si>
    <t>使用水量</t>
    <rPh sb="0" eb="2">
      <t>シヨウ</t>
    </rPh>
    <rPh sb="2" eb="4">
      <t>スイリョウ</t>
    </rPh>
    <phoneticPr fontId="2"/>
  </si>
  <si>
    <t>㎥</t>
    <phoneticPr fontId="3"/>
  </si>
  <si>
    <t>501㎥～</t>
    <phoneticPr fontId="2"/>
  </si>
  <si>
    <t>基本料金</t>
    <rPh sb="0" eb="2">
      <t>キホン</t>
    </rPh>
    <rPh sb="2" eb="4">
      <t>リョウキン</t>
    </rPh>
    <phoneticPr fontId="3"/>
  </si>
  <si>
    <t>円</t>
    <rPh sb="0" eb="1">
      <t>エン</t>
    </rPh>
    <phoneticPr fontId="3"/>
  </si>
  <si>
    <t>←使用した口径から算出される基本料金</t>
    <rPh sb="1" eb="3">
      <t>シヨウ</t>
    </rPh>
    <rPh sb="5" eb="7">
      <t>コウケイ</t>
    </rPh>
    <rPh sb="9" eb="11">
      <t>サンシュツ</t>
    </rPh>
    <rPh sb="14" eb="16">
      <t>キホン</t>
    </rPh>
    <rPh sb="16" eb="18">
      <t>リョウキン</t>
    </rPh>
    <phoneticPr fontId="3"/>
  </si>
  <si>
    <t>超過料金</t>
    <rPh sb="0" eb="2">
      <t>チョウカ</t>
    </rPh>
    <rPh sb="2" eb="4">
      <t>リョウキン</t>
    </rPh>
    <phoneticPr fontId="3"/>
  </si>
  <si>
    <t>←使用した水量から算出される超過料金</t>
    <rPh sb="1" eb="3">
      <t>シヨウ</t>
    </rPh>
    <rPh sb="5" eb="7">
      <t>スイリョウ</t>
    </rPh>
    <rPh sb="9" eb="11">
      <t>サンシュツ</t>
    </rPh>
    <rPh sb="14" eb="16">
      <t>チョウカ</t>
    </rPh>
    <rPh sb="16" eb="18">
      <t>リョウキン</t>
    </rPh>
    <phoneticPr fontId="3"/>
  </si>
  <si>
    <t>（内消費税）</t>
    <rPh sb="1" eb="2">
      <t>ウチ</t>
    </rPh>
    <rPh sb="2" eb="5">
      <t>ショウヒゼイ</t>
    </rPh>
    <phoneticPr fontId="3"/>
  </si>
  <si>
    <t>消費税設定</t>
    <rPh sb="0" eb="3">
      <t>ショウヒゼイ</t>
    </rPh>
    <rPh sb="3" eb="5">
      <t>セッテイ</t>
    </rPh>
    <phoneticPr fontId="3"/>
  </si>
  <si>
    <t>メーター口径
(mm)</t>
    <rPh sb="4" eb="6">
      <t>コウケイ</t>
    </rPh>
    <phoneticPr fontId="2"/>
  </si>
  <si>
    <t>単価
(㎥/円)</t>
    <rPh sb="0" eb="2">
      <t>タンカ</t>
    </rPh>
    <rPh sb="6" eb="7">
      <t>エン</t>
    </rPh>
    <phoneticPr fontId="2"/>
  </si>
  <si>
    <t>金額
(円)</t>
    <rPh sb="0" eb="2">
      <t>キンガク</t>
    </rPh>
    <rPh sb="4" eb="5">
      <t>エン</t>
    </rPh>
    <phoneticPr fontId="2"/>
  </si>
  <si>
    <t>使用水量(㎥)</t>
    <rPh sb="0" eb="2">
      <t>シヨウ</t>
    </rPh>
    <rPh sb="2" eb="4">
      <t>スイリョウ</t>
    </rPh>
    <phoneticPr fontId="3"/>
  </si>
  <si>
    <t>基本料金(消費税抜き)</t>
    <rPh sb="0" eb="2">
      <t>キホン</t>
    </rPh>
    <rPh sb="2" eb="4">
      <t>リョウキン</t>
    </rPh>
    <rPh sb="5" eb="8">
      <t>ショウヒゼイ</t>
    </rPh>
    <rPh sb="8" eb="9">
      <t>ヌ</t>
    </rPh>
    <phoneticPr fontId="2"/>
  </si>
  <si>
    <t>税率</t>
    <rPh sb="0" eb="2">
      <t>ゼイリツ</t>
    </rPh>
    <phoneticPr fontId="3"/>
  </si>
  <si>
    <t>以上</t>
    <rPh sb="0" eb="2">
      <t>イジョウ</t>
    </rPh>
    <phoneticPr fontId="8"/>
  </si>
  <si>
    <t>以下</t>
    <rPh sb="0" eb="2">
      <t>イカ</t>
    </rPh>
    <phoneticPr fontId="8"/>
  </si>
  <si>
    <t>単価</t>
    <rPh sb="0" eb="2">
      <t>タンカ</t>
    </rPh>
    <phoneticPr fontId="8"/>
  </si>
  <si>
    <t>基本料金</t>
    <rPh sb="0" eb="2">
      <t>キホン</t>
    </rPh>
    <rPh sb="2" eb="4">
      <t>リョウキン</t>
    </rPh>
    <phoneticPr fontId="2"/>
  </si>
  <si>
    <t>超過料金</t>
    <rPh sb="0" eb="2">
      <t>チョウカ</t>
    </rPh>
    <rPh sb="2" eb="4">
      <t>リョウキン</t>
    </rPh>
    <phoneticPr fontId="2"/>
  </si>
  <si>
    <t>水道料金</t>
    <rPh sb="0" eb="2">
      <t>スイドウ</t>
    </rPh>
    <rPh sb="2" eb="4">
      <t>リョウキン</t>
    </rPh>
    <phoneticPr fontId="2"/>
  </si>
  <si>
    <t>計算</t>
    <rPh sb="0" eb="2">
      <t>ケイサン</t>
    </rPh>
    <phoneticPr fontId="8"/>
  </si>
  <si>
    <t>←基本料金と超過料金の合計額（１円未満切捨）</t>
    <rPh sb="1" eb="3">
      <t>キホン</t>
    </rPh>
    <rPh sb="3" eb="5">
      <t>リョウキン</t>
    </rPh>
    <rPh sb="6" eb="8">
      <t>チョウカ</t>
    </rPh>
    <rPh sb="8" eb="10">
      <t>リョウキン</t>
    </rPh>
    <rPh sb="11" eb="13">
      <t>ゴウケイ</t>
    </rPh>
    <rPh sb="13" eb="14">
      <t>ガク</t>
    </rPh>
    <rPh sb="16" eb="17">
      <t>エン</t>
    </rPh>
    <rPh sb="17" eb="19">
      <t>ミマン</t>
    </rPh>
    <rPh sb="19" eb="21">
      <t>キリス</t>
    </rPh>
    <phoneticPr fontId="3"/>
  </si>
  <si>
    <t>水道料金計算表</t>
    <rPh sb="0" eb="2">
      <t>スイドウ</t>
    </rPh>
    <rPh sb="2" eb="4">
      <t>リョウキン</t>
    </rPh>
    <rPh sb="4" eb="6">
      <t>ケイサン</t>
    </rPh>
    <rPh sb="6" eb="7">
      <t>ヒョウ</t>
    </rPh>
    <phoneticPr fontId="8"/>
  </si>
  <si>
    <t>竜王町水道料金（令和４年４月１日以降）</t>
    <rPh sb="0" eb="3">
      <t>リュウオウチョウ</t>
    </rPh>
    <rPh sb="3" eb="5">
      <t>スイドウ</t>
    </rPh>
    <rPh sb="5" eb="7">
      <t>リョウキン</t>
    </rPh>
    <rPh sb="8" eb="10">
      <t>レイワ</t>
    </rPh>
    <rPh sb="11" eb="12">
      <t>ネン</t>
    </rPh>
    <rPh sb="13" eb="14">
      <t>ガツ</t>
    </rPh>
    <rPh sb="15" eb="16">
      <t>ニチ</t>
    </rPh>
    <rPh sb="16" eb="18">
      <t>イコウ</t>
    </rPh>
    <phoneticPr fontId="2"/>
  </si>
  <si>
    <t>超過料金(消費税抜き)</t>
    <rPh sb="0" eb="2">
      <t>チョウカ</t>
    </rPh>
    <rPh sb="2" eb="4">
      <t>リョウキン</t>
    </rPh>
    <rPh sb="5" eb="8">
      <t>ショウヒゼイ</t>
    </rPh>
    <rPh sb="8" eb="9">
      <t>ヌ</t>
    </rPh>
    <phoneticPr fontId="2"/>
  </si>
  <si>
    <t>使用水量</t>
    <rPh sb="0" eb="2">
      <t>シヨウ</t>
    </rPh>
    <rPh sb="2" eb="4">
      <t>スイリョウ</t>
    </rPh>
    <phoneticPr fontId="8"/>
  </si>
  <si>
    <t>メータ使用料</t>
    <rPh sb="3" eb="6">
      <t>シヨウリョウ</t>
    </rPh>
    <phoneticPr fontId="2"/>
  </si>
  <si>
    <t>メーター使用料</t>
    <rPh sb="4" eb="7">
      <t>シヨウリョウ</t>
    </rPh>
    <phoneticPr fontId="2"/>
  </si>
  <si>
    <t>現行水道料金</t>
    <rPh sb="0" eb="2">
      <t>ゲンコウ</t>
    </rPh>
    <rPh sb="2" eb="4">
      <t>スイドウ</t>
    </rPh>
    <rPh sb="4" eb="6">
      <t>リョウキン</t>
    </rPh>
    <phoneticPr fontId="3"/>
  </si>
  <si>
    <t>21㎥～50㎥</t>
    <phoneticPr fontId="2"/>
  </si>
  <si>
    <t>51㎥～100㎥</t>
    <phoneticPr fontId="2"/>
  </si>
  <si>
    <t>101㎥～200㎥</t>
    <phoneticPr fontId="2"/>
  </si>
  <si>
    <t>201㎥～500㎥</t>
    <phoneticPr fontId="2"/>
  </si>
  <si>
    <t>増減額</t>
    <rPh sb="0" eb="3">
      <t>ゾウゲンガク</t>
    </rPh>
    <phoneticPr fontId="3"/>
  </si>
  <si>
    <t>←令和４年３月３１日までの水道料金</t>
    <rPh sb="1" eb="3">
      <t>レイワ</t>
    </rPh>
    <rPh sb="4" eb="5">
      <t>ネン</t>
    </rPh>
    <rPh sb="6" eb="7">
      <t>ガツ</t>
    </rPh>
    <rPh sb="9" eb="10">
      <t>ニチ</t>
    </rPh>
    <rPh sb="13" eb="15">
      <t>スイドウ</t>
    </rPh>
    <rPh sb="15" eb="17">
      <t>リョウキン</t>
    </rPh>
    <phoneticPr fontId="2"/>
  </si>
  <si>
    <r>
      <rPr>
        <b/>
        <sz val="12"/>
        <rFont val="ＭＳ ゴシック"/>
        <family val="3"/>
        <charset val="128"/>
      </rPr>
      <t>←</t>
    </r>
    <r>
      <rPr>
        <b/>
        <sz val="12"/>
        <color rgb="FFFF0000"/>
        <rFont val="ＭＳ ゴシック"/>
        <family val="3"/>
        <charset val="128"/>
      </rPr>
      <t>水道メーターの口径を選択してください。</t>
    </r>
    <rPh sb="1" eb="3">
      <t>スイドウ</t>
    </rPh>
    <rPh sb="8" eb="10">
      <t>コウケイ</t>
    </rPh>
    <rPh sb="11" eb="13">
      <t>センタク</t>
    </rPh>
    <phoneticPr fontId="3"/>
  </si>
  <si>
    <r>
      <rPr>
        <b/>
        <sz val="12"/>
        <rFont val="ＭＳ ゴシック"/>
        <family val="3"/>
        <charset val="128"/>
      </rPr>
      <t>←</t>
    </r>
    <r>
      <rPr>
        <b/>
        <sz val="12"/>
        <color rgb="FFFF0000"/>
        <rFont val="ＭＳ ゴシック"/>
        <family val="3"/>
        <charset val="128"/>
      </rPr>
      <t>該当期間に使用した水量を入力してください。</t>
    </r>
    <rPh sb="1" eb="3">
      <t>ガイトウ</t>
    </rPh>
    <rPh sb="3" eb="5">
      <t>キカン</t>
    </rPh>
    <rPh sb="6" eb="8">
      <t>シヨウ</t>
    </rPh>
    <rPh sb="10" eb="12">
      <t>スイリョウ</t>
    </rPh>
    <rPh sb="13" eb="15">
      <t>ニュウリョク</t>
    </rPh>
    <phoneticPr fontId="3"/>
  </si>
  <si>
    <t>下水道使用料計算表</t>
    <rPh sb="0" eb="3">
      <t>ゲスイドウ</t>
    </rPh>
    <rPh sb="3" eb="6">
      <t>シヨウリョウ</t>
    </rPh>
    <rPh sb="6" eb="8">
      <t>ケイサン</t>
    </rPh>
    <rPh sb="8" eb="9">
      <t>ヒョウ</t>
    </rPh>
    <phoneticPr fontId="8"/>
  </si>
  <si>
    <t>公共下水道</t>
    <rPh sb="0" eb="2">
      <t>コウキョウ</t>
    </rPh>
    <rPh sb="2" eb="5">
      <t>ゲスイドウ</t>
    </rPh>
    <phoneticPr fontId="2"/>
  </si>
  <si>
    <t>農村下水道</t>
    <rPh sb="0" eb="2">
      <t>ノウソン</t>
    </rPh>
    <rPh sb="2" eb="5">
      <t>ゲスイドウ</t>
    </rPh>
    <phoneticPr fontId="2"/>
  </si>
  <si>
    <t>下水道使用料</t>
    <rPh sb="0" eb="3">
      <t>ゲスイドウ</t>
    </rPh>
    <rPh sb="3" eb="6">
      <t>シヨウリョウ</t>
    </rPh>
    <phoneticPr fontId="2"/>
  </si>
  <si>
    <t>１人</t>
    <rPh sb="1" eb="2">
      <t>ニン</t>
    </rPh>
    <phoneticPr fontId="2"/>
  </si>
  <si>
    <t>世帯数</t>
    <rPh sb="0" eb="3">
      <t>セタイスウ</t>
    </rPh>
    <phoneticPr fontId="8"/>
  </si>
  <si>
    <t>下水道の種類</t>
    <rPh sb="0" eb="3">
      <t>ゲスイドウ</t>
    </rPh>
    <rPh sb="4" eb="6">
      <t>シュルイ</t>
    </rPh>
    <phoneticPr fontId="2"/>
  </si>
  <si>
    <t>世帯人数</t>
    <rPh sb="0" eb="2">
      <t>セタイ</t>
    </rPh>
    <rPh sb="2" eb="4">
      <t>ニンズウ</t>
    </rPh>
    <phoneticPr fontId="2"/>
  </si>
  <si>
    <t>人</t>
    <rPh sb="0" eb="1">
      <t>ニン</t>
    </rPh>
    <phoneticPr fontId="2"/>
  </si>
  <si>
    <r>
      <rPr>
        <b/>
        <sz val="12"/>
        <rFont val="ＭＳ ゴシック"/>
        <family val="3"/>
        <charset val="128"/>
      </rPr>
      <t>←</t>
    </r>
    <r>
      <rPr>
        <b/>
        <sz val="12"/>
        <color rgb="FFFF0000"/>
        <rFont val="ＭＳ ゴシック"/>
        <family val="3"/>
        <charset val="128"/>
      </rPr>
      <t>農村下水道の場合世帯人数を入力してください。</t>
    </r>
    <rPh sb="1" eb="3">
      <t>ノウソン</t>
    </rPh>
    <rPh sb="3" eb="6">
      <t>ゲスイドウ</t>
    </rPh>
    <rPh sb="7" eb="9">
      <t>バアイ</t>
    </rPh>
    <rPh sb="9" eb="11">
      <t>セタイ</t>
    </rPh>
    <rPh sb="11" eb="13">
      <t>ニンズウ</t>
    </rPh>
    <rPh sb="14" eb="16">
      <t>ニュウリョク</t>
    </rPh>
    <phoneticPr fontId="3"/>
  </si>
  <si>
    <r>
      <rPr>
        <b/>
        <sz val="12"/>
        <rFont val="ＭＳ ゴシック"/>
        <family val="3"/>
        <charset val="128"/>
      </rPr>
      <t>←</t>
    </r>
    <r>
      <rPr>
        <b/>
        <sz val="12"/>
        <color rgb="FFFF0000"/>
        <rFont val="ＭＳ ゴシック"/>
        <family val="3"/>
        <charset val="128"/>
      </rPr>
      <t>下水道の種類を選択してください。</t>
    </r>
    <rPh sb="1" eb="4">
      <t>ゲスイドウ</t>
    </rPh>
    <rPh sb="5" eb="7">
      <t>シュルイ</t>
    </rPh>
    <rPh sb="8" eb="10">
      <t>センタク</t>
    </rPh>
    <phoneticPr fontId="3"/>
  </si>
  <si>
    <t>人数割料金</t>
    <rPh sb="0" eb="3">
      <t>ニンズウワ</t>
    </rPh>
    <rPh sb="3" eb="5">
      <t>リョウキン</t>
    </rPh>
    <phoneticPr fontId="2"/>
  </si>
  <si>
    <t>水道料金</t>
    <rPh sb="0" eb="2">
      <t>スイドウ</t>
    </rPh>
    <rPh sb="2" eb="4">
      <t>リョウキン</t>
    </rPh>
    <phoneticPr fontId="2"/>
  </si>
  <si>
    <t>合計</t>
    <rPh sb="0" eb="2">
      <t>ゴウケイ</t>
    </rPh>
    <phoneticPr fontId="3"/>
  </si>
  <si>
    <t>下水道使用料</t>
    <rPh sb="0" eb="3">
      <t>ゲスイドウ</t>
    </rPh>
    <rPh sb="3" eb="6">
      <t>シヨウリョウ</t>
    </rPh>
    <phoneticPr fontId="2"/>
  </si>
  <si>
    <t>水道料金改定に伴う増減額</t>
    <rPh sb="0" eb="2">
      <t>スイドウ</t>
    </rPh>
    <rPh sb="2" eb="4">
      <t>リョウキン</t>
    </rPh>
    <rPh sb="4" eb="6">
      <t>カイテイ</t>
    </rPh>
    <rPh sb="7" eb="8">
      <t>トモナ</t>
    </rPh>
    <rPh sb="9" eb="11">
      <t>ゾウゲン</t>
    </rPh>
    <rPh sb="11" eb="12">
      <t>ガク</t>
    </rPh>
    <phoneticPr fontId="2"/>
  </si>
  <si>
    <t>←下水道使用料×10/110（１円未満切捨）</t>
    <rPh sb="1" eb="4">
      <t>ゲスイドウ</t>
    </rPh>
    <rPh sb="4" eb="7">
      <t>シヨウリョウ</t>
    </rPh>
    <rPh sb="16" eb="17">
      <t>エン</t>
    </rPh>
    <rPh sb="17" eb="19">
      <t>ミマン</t>
    </rPh>
    <rPh sb="19" eb="21">
      <t>キリス</t>
    </rPh>
    <phoneticPr fontId="3"/>
  </si>
  <si>
    <t>←水道料金×10/110（１円未満切捨）</t>
    <rPh sb="1" eb="3">
      <t>スイドウ</t>
    </rPh>
    <rPh sb="3" eb="5">
      <t>リョウキン</t>
    </rPh>
    <rPh sb="14" eb="15">
      <t>エン</t>
    </rPh>
    <rPh sb="15" eb="17">
      <t>ミマン</t>
    </rPh>
    <rPh sb="17" eb="19">
      <t>キリス</t>
    </rPh>
    <phoneticPr fontId="3"/>
  </si>
  <si>
    <t>←使用した水量または人数から算出される料金</t>
    <rPh sb="1" eb="3">
      <t>シヨウ</t>
    </rPh>
    <rPh sb="5" eb="7">
      <t>スイリョウ</t>
    </rPh>
    <rPh sb="10" eb="12">
      <t>ニンズウ</t>
    </rPh>
    <rPh sb="14" eb="16">
      <t>サンシュツ</t>
    </rPh>
    <rPh sb="19" eb="21">
      <t>リョウキン</t>
    </rPh>
    <phoneticPr fontId="3"/>
  </si>
  <si>
    <t>←下水道の種類により算出される基本料金</t>
    <rPh sb="1" eb="4">
      <t>ゲスイドウ</t>
    </rPh>
    <rPh sb="5" eb="7">
      <t>シュルイ</t>
    </rPh>
    <rPh sb="10" eb="12">
      <t>サンシュツ</t>
    </rPh>
    <rPh sb="15" eb="17">
      <t>キホン</t>
    </rPh>
    <rPh sb="17" eb="19">
      <t>リョウキン</t>
    </rPh>
    <phoneticPr fontId="3"/>
  </si>
  <si>
    <t>使用状況の入力</t>
    <rPh sb="0" eb="2">
      <t>シヨウ</t>
    </rPh>
    <rPh sb="2" eb="4">
      <t>ジョウキョウ</t>
    </rPh>
    <rPh sb="5" eb="7">
      <t>ニュウリョク</t>
    </rPh>
    <phoneticPr fontId="2"/>
  </si>
  <si>
    <t>計算条件</t>
    <rPh sb="0" eb="2">
      <t>ケイサン</t>
    </rPh>
    <rPh sb="2" eb="4">
      <t>ジョウケン</t>
    </rPh>
    <phoneticPr fontId="2"/>
  </si>
  <si>
    <t>料金計算結果</t>
    <rPh sb="0" eb="2">
      <t>リョウキン</t>
    </rPh>
    <rPh sb="2" eb="4">
      <t>ケイサン</t>
    </rPh>
    <rPh sb="4" eb="6">
      <t>ケッカ</t>
    </rPh>
    <phoneticPr fontId="2"/>
  </si>
  <si>
    <t>基本水量
(㎥)</t>
    <rPh sb="0" eb="2">
      <t>キホン</t>
    </rPh>
    <rPh sb="2" eb="4">
      <t>スイリョウ</t>
    </rPh>
    <phoneticPr fontId="2"/>
  </si>
  <si>
    <t>竜王町公共下水道使用料</t>
    <rPh sb="0" eb="3">
      <t>リュウオウチョウ</t>
    </rPh>
    <rPh sb="3" eb="5">
      <t>コウキョウ</t>
    </rPh>
    <rPh sb="5" eb="8">
      <t>ゲスイドウ</t>
    </rPh>
    <rPh sb="8" eb="11">
      <t>シヨウリョウ</t>
    </rPh>
    <phoneticPr fontId="2"/>
  </si>
  <si>
    <t>101㎥～300㎥</t>
    <phoneticPr fontId="2"/>
  </si>
  <si>
    <t>301㎥～</t>
    <phoneticPr fontId="2"/>
  </si>
  <si>
    <t>竜王町農村下水道使用料</t>
    <rPh sb="0" eb="3">
      <t>リュウオウチョウ</t>
    </rPh>
    <rPh sb="3" eb="5">
      <t>ノウソン</t>
    </rPh>
    <rPh sb="5" eb="8">
      <t>ゲスイドウ</t>
    </rPh>
    <rPh sb="8" eb="11">
      <t>シヨウリョウ</t>
    </rPh>
    <phoneticPr fontId="2"/>
  </si>
  <si>
    <t>人数割料金(消費税抜き)</t>
    <rPh sb="0" eb="3">
      <t>ニンズウワ</t>
    </rPh>
    <rPh sb="3" eb="5">
      <t>リョウキン</t>
    </rPh>
    <rPh sb="6" eb="9">
      <t>ショウヒゼイ</t>
    </rPh>
    <rPh sb="9" eb="10">
      <t>ヌ</t>
    </rPh>
    <phoneticPr fontId="2"/>
  </si>
  <si>
    <t>竜王町水道料金・下水道使用料計算</t>
    <rPh sb="0" eb="3">
      <t>リュウオウチョウ</t>
    </rPh>
    <rPh sb="3" eb="5">
      <t>スイドウ</t>
    </rPh>
    <rPh sb="5" eb="7">
      <t>リョウキン</t>
    </rPh>
    <rPh sb="8" eb="11">
      <t>ゲスイドウ</t>
    </rPh>
    <rPh sb="11" eb="14">
      <t>シヨウリョウ</t>
    </rPh>
    <rPh sb="14" eb="16">
      <t>ケイサン</t>
    </rPh>
    <phoneticPr fontId="2"/>
  </si>
  <si>
    <t>←基本料金と超過料金or人数割の合計額（１円未満切捨）</t>
    <rPh sb="1" eb="3">
      <t>キホン</t>
    </rPh>
    <rPh sb="3" eb="5">
      <t>リョウキン</t>
    </rPh>
    <rPh sb="6" eb="8">
      <t>チョウカ</t>
    </rPh>
    <rPh sb="8" eb="10">
      <t>リョウキン</t>
    </rPh>
    <rPh sb="12" eb="15">
      <t>ニンズウワ</t>
    </rPh>
    <rPh sb="16" eb="18">
      <t>ゴウケイ</t>
    </rPh>
    <rPh sb="18" eb="19">
      <t>ガク</t>
    </rPh>
    <rPh sb="21" eb="22">
      <t>エン</t>
    </rPh>
    <rPh sb="22" eb="24">
      <t>ミマン</t>
    </rPh>
    <rPh sb="24" eb="26">
      <t>キリス</t>
    </rPh>
    <phoneticPr fontId="3"/>
  </si>
  <si>
    <t>超過料金 or 人数割</t>
    <rPh sb="0" eb="2">
      <t>チョウカ</t>
    </rPh>
    <rPh sb="2" eb="4">
      <t>リョウキン</t>
    </rPh>
    <rPh sb="8" eb="11">
      <t>ニンズウワリ</t>
    </rPh>
    <phoneticPr fontId="3"/>
  </si>
  <si>
    <t>金額(円)</t>
    <rPh sb="0" eb="2">
      <t>キンガク</t>
    </rPh>
    <rPh sb="3" eb="4">
      <t>エン</t>
    </rPh>
    <phoneticPr fontId="2"/>
  </si>
  <si>
    <t>単価(人/円)</t>
    <rPh sb="0" eb="2">
      <t>タンカ</t>
    </rPh>
    <rPh sb="3" eb="4">
      <t>ニン</t>
    </rPh>
    <rPh sb="5" eb="6">
      <t>エン</t>
    </rPh>
    <phoneticPr fontId="2"/>
  </si>
  <si>
    <t>※ 特定排水（750㎥以上）がある場合は、別途お問合せください。</t>
    <rPh sb="2" eb="4">
      <t>トクテイ</t>
    </rPh>
    <rPh sb="4" eb="6">
      <t>ハイスイ</t>
    </rPh>
    <rPh sb="11" eb="13">
      <t>イジョウ</t>
    </rPh>
    <rPh sb="17" eb="19">
      <t>バアイ</t>
    </rPh>
    <rPh sb="21" eb="23">
      <t>ベット</t>
    </rPh>
    <rPh sb="24" eb="26">
      <t>トイアワ</t>
    </rPh>
    <phoneticPr fontId="2"/>
  </si>
  <si>
    <t>※ 臨時用は、別途お問合せください。</t>
    <rPh sb="2" eb="4">
      <t>リンジ</t>
    </rPh>
    <rPh sb="4" eb="5">
      <t>ヨウ</t>
    </rPh>
    <rPh sb="7" eb="9">
      <t>ベット</t>
    </rPh>
    <rPh sb="10" eb="12">
      <t>トイアワ</t>
    </rPh>
    <phoneticPr fontId="2"/>
  </si>
  <si>
    <t>※ 事業所を併設されている場合は、別途お問合せください。</t>
    <rPh sb="2" eb="5">
      <t>ジギョウショ</t>
    </rPh>
    <rPh sb="6" eb="8">
      <t>ヘイセツ</t>
    </rPh>
    <rPh sb="13" eb="15">
      <t>バアイ</t>
    </rPh>
    <rPh sb="17" eb="19">
      <t>ベット</t>
    </rPh>
    <rPh sb="20" eb="22">
      <t>トイアワ</t>
    </rPh>
    <phoneticPr fontId="2"/>
  </si>
  <si>
    <t>合計</t>
    <rPh sb="0" eb="2">
      <t>ゴウケイ</t>
    </rPh>
    <phoneticPr fontId="2"/>
  </si>
  <si>
    <t>（内消費税）</t>
    <rPh sb="1" eb="2">
      <t>ウチ</t>
    </rPh>
    <rPh sb="2" eb="5">
      <t>ショウヒゼイ</t>
    </rPh>
    <phoneticPr fontId="2"/>
  </si>
  <si>
    <t>基本料金(消費税込み)</t>
    <rPh sb="0" eb="2">
      <t>キホン</t>
    </rPh>
    <rPh sb="2" eb="4">
      <t>リョウキン</t>
    </rPh>
    <rPh sb="5" eb="8">
      <t>ショウヒゼイ</t>
    </rPh>
    <rPh sb="8" eb="9">
      <t>コ</t>
    </rPh>
    <phoneticPr fontId="2"/>
  </si>
  <si>
    <t>超過料金(消費税込み)</t>
    <rPh sb="0" eb="2">
      <t>チョウカ</t>
    </rPh>
    <rPh sb="2" eb="4">
      <t>リョウキン</t>
    </rPh>
    <rPh sb="5" eb="8">
      <t>ショウヒゼイ</t>
    </rPh>
    <rPh sb="8" eb="9">
      <t>コ</t>
    </rPh>
    <phoneticPr fontId="2"/>
  </si>
  <si>
    <t>16㎥～50㎥</t>
    <phoneticPr fontId="2"/>
  </si>
  <si>
    <t>16㎥～50㎥</t>
    <phoneticPr fontId="2"/>
  </si>
  <si>
    <t>内消費税</t>
    <rPh sb="0" eb="1">
      <t>ウチ</t>
    </rPh>
    <rPh sb="1" eb="4">
      <t>ショウヒゼイ</t>
    </rPh>
    <phoneticPr fontId="2"/>
  </si>
  <si>
    <t>基本水量(㎥)</t>
    <rPh sb="0" eb="2">
      <t>キホン</t>
    </rPh>
    <rPh sb="2" eb="4">
      <t>スイリョウ</t>
    </rPh>
    <phoneticPr fontId="2"/>
  </si>
  <si>
    <t>単価(㎥/円)</t>
    <rPh sb="0" eb="2">
      <t>タンカ</t>
    </rPh>
    <rPh sb="5" eb="6">
      <t>エン</t>
    </rPh>
    <phoneticPr fontId="2"/>
  </si>
  <si>
    <t>内消費税</t>
    <rPh sb="0" eb="1">
      <t>ウチ</t>
    </rPh>
    <rPh sb="1" eb="4">
      <t>ショウヒゼイ</t>
    </rPh>
    <phoneticPr fontId="2"/>
  </si>
  <si>
    <t>人数割料金(消費税込み)</t>
    <rPh sb="0" eb="3">
      <t>ニンズウワ</t>
    </rPh>
    <rPh sb="3" eb="5">
      <t>リョウキン</t>
    </rPh>
    <rPh sb="6" eb="9">
      <t>ショウヒゼイ</t>
    </rPh>
    <rPh sb="9" eb="10">
      <t>コ</t>
    </rPh>
    <phoneticPr fontId="2"/>
  </si>
  <si>
    <t>メーター口径(mm)</t>
    <rPh sb="4" eb="6">
      <t>コウケイ</t>
    </rPh>
    <phoneticPr fontId="2"/>
  </si>
  <si>
    <t>内消費税</t>
    <rPh sb="0" eb="4">
      <t>ウチショウヒゼイ</t>
    </rPh>
    <phoneticPr fontId="2"/>
  </si>
  <si>
    <t>消費税</t>
    <rPh sb="0" eb="3">
      <t>ショウヒゼイ</t>
    </rPh>
    <phoneticPr fontId="2"/>
  </si>
  <si>
    <t>【下水道使用料に変更はありません】</t>
    <rPh sb="1" eb="4">
      <t>ゲスイドウ</t>
    </rPh>
    <rPh sb="4" eb="7">
      <t>シヨウリョウ</t>
    </rPh>
    <rPh sb="8" eb="10">
      <t>ヘンコウ</t>
    </rPh>
    <phoneticPr fontId="2"/>
  </si>
  <si>
    <t>51㎥～100㎥</t>
    <phoneticPr fontId="2"/>
  </si>
  <si>
    <t>公共下水道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</si>
</sst>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8" formatCode="&quot;¥&quot;#,##0.00;[Red]&quot;¥&quot;\-#,##0.00"/>
    <numFmt numFmtId="176" formatCode="0&quot;㎥&quot;"/>
    <numFmt numFmtId="177" formatCode="#,##0.0;[Red]\-#,##0.0"/>
  </numFmts>
  <fonts count="2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Yu Gothic"/>
      <family val="3"/>
      <charset val="128"/>
    </font>
    <font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游ゴシック"/>
      <family val="2"/>
      <charset val="128"/>
      <scheme val="minor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b/>
      <sz val="11"/>
      <color rgb="FFFF0000"/>
      <name val="游ゴシック"/>
      <family val="2"/>
      <charset val="128"/>
      <scheme val="minor"/>
    </font>
    <font>
      <b/>
      <sz val="16"/>
      <color theme="1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99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80"/>
      </top>
      <bottom/>
      <diagonal/>
    </border>
    <border>
      <left/>
      <right/>
      <top style="thin">
        <color rgb="FF000080"/>
      </top>
      <bottom style="thin">
        <color rgb="FF000080"/>
      </bottom>
      <diagonal/>
    </border>
    <border>
      <left/>
      <right/>
      <top style="thin">
        <color rgb="FF00008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rgb="FF00008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auto="1"/>
      </bottom>
      <diagonal/>
    </border>
    <border>
      <left/>
      <right style="thin">
        <color indexed="64"/>
      </right>
      <top style="dotted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dotted">
        <color auto="1"/>
      </top>
      <bottom/>
      <diagonal/>
    </border>
    <border>
      <left/>
      <right style="thin">
        <color indexed="64"/>
      </right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1">
    <xf numFmtId="0" fontId="0" fillId="0" borderId="0" xfId="0">
      <alignment vertical="center"/>
    </xf>
    <xf numFmtId="0" fontId="6" fillId="0" borderId="0" xfId="0" applyFont="1" applyFill="1" applyBorder="1" applyAlignment="1" applyProtection="1">
      <alignment vertical="center"/>
    </xf>
    <xf numFmtId="0" fontId="7" fillId="0" borderId="0" xfId="0" applyFont="1" applyBorder="1">
      <alignment vertical="center"/>
    </xf>
    <xf numFmtId="0" fontId="9" fillId="0" borderId="0" xfId="0" applyFont="1" applyBorder="1">
      <alignment vertical="center"/>
    </xf>
    <xf numFmtId="0" fontId="10" fillId="0" borderId="0" xfId="0" applyFont="1" applyBorder="1" applyAlignment="1">
      <alignment horizontal="right" vertical="center"/>
    </xf>
    <xf numFmtId="38" fontId="11" fillId="0" borderId="0" xfId="1" applyFont="1" applyBorder="1">
      <alignment vertical="center"/>
    </xf>
    <xf numFmtId="176" fontId="11" fillId="0" borderId="22" xfId="0" applyNumberFormat="1" applyFont="1" applyBorder="1" applyAlignment="1">
      <alignment horizontal="right" vertical="center"/>
    </xf>
    <xf numFmtId="38" fontId="11" fillId="0" borderId="21" xfId="1" applyFont="1" applyBorder="1">
      <alignment vertical="center"/>
    </xf>
    <xf numFmtId="6" fontId="13" fillId="0" borderId="1" xfId="0" applyNumberFormat="1" applyFont="1" applyFill="1" applyBorder="1">
      <alignment vertical="center"/>
    </xf>
    <xf numFmtId="176" fontId="11" fillId="0" borderId="23" xfId="0" applyNumberFormat="1" applyFont="1" applyBorder="1" applyAlignment="1">
      <alignment horizontal="right" vertical="center"/>
    </xf>
    <xf numFmtId="176" fontId="11" fillId="0" borderId="24" xfId="0" applyNumberFormat="1" applyFont="1" applyBorder="1" applyAlignment="1">
      <alignment horizontal="right" vertical="center"/>
    </xf>
    <xf numFmtId="0" fontId="9" fillId="0" borderId="0" xfId="0" applyFont="1" applyFill="1" applyBorder="1">
      <alignment vertical="center"/>
    </xf>
    <xf numFmtId="176" fontId="11" fillId="0" borderId="25" xfId="0" applyNumberFormat="1" applyFont="1" applyFill="1" applyBorder="1" applyAlignment="1">
      <alignment horizontal="right" vertical="center"/>
    </xf>
    <xf numFmtId="38" fontId="11" fillId="0" borderId="25" xfId="1" applyFont="1" applyFill="1" applyBorder="1">
      <alignment vertical="center"/>
    </xf>
    <xf numFmtId="0" fontId="4" fillId="0" borderId="0" xfId="0" applyFont="1">
      <alignment vertical="center"/>
    </xf>
    <xf numFmtId="0" fontId="9" fillId="0" borderId="11" xfId="0" applyFont="1" applyBorder="1">
      <alignment vertical="center"/>
    </xf>
    <xf numFmtId="0" fontId="10" fillId="0" borderId="1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38" fontId="9" fillId="2" borderId="14" xfId="1" applyFont="1" applyFill="1" applyBorder="1">
      <alignment vertical="center"/>
    </xf>
    <xf numFmtId="0" fontId="9" fillId="0" borderId="8" xfId="0" applyFont="1" applyBorder="1">
      <alignment vertical="center"/>
    </xf>
    <xf numFmtId="176" fontId="11" fillId="0" borderId="33" xfId="0" applyNumberFormat="1" applyFont="1" applyBorder="1" applyAlignment="1">
      <alignment horizontal="right" vertical="center"/>
    </xf>
    <xf numFmtId="38" fontId="9" fillId="2" borderId="17" xfId="1" applyFont="1" applyFill="1" applyBorder="1">
      <alignment vertical="center"/>
    </xf>
    <xf numFmtId="6" fontId="13" fillId="0" borderId="37" xfId="0" applyNumberFormat="1" applyFont="1" applyFill="1" applyBorder="1">
      <alignment vertical="center"/>
    </xf>
    <xf numFmtId="38" fontId="9" fillId="0" borderId="14" xfId="1" applyFont="1" applyFill="1" applyBorder="1">
      <alignment vertical="center"/>
    </xf>
    <xf numFmtId="0" fontId="0" fillId="0" borderId="8" xfId="0" applyBorder="1">
      <alignment vertical="center"/>
    </xf>
    <xf numFmtId="0" fontId="0" fillId="0" borderId="17" xfId="0" applyBorder="1">
      <alignment vertical="center"/>
    </xf>
    <xf numFmtId="0" fontId="10" fillId="0" borderId="38" xfId="0" applyFont="1" applyBorder="1" applyAlignment="1">
      <alignment horizontal="center" vertical="center"/>
    </xf>
    <xf numFmtId="176" fontId="10" fillId="0" borderId="39" xfId="0" applyNumberFormat="1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176" fontId="14" fillId="0" borderId="26" xfId="0" applyNumberFormat="1" applyFont="1" applyFill="1" applyBorder="1" applyAlignment="1">
      <alignment horizontal="center" vertical="center"/>
    </xf>
    <xf numFmtId="6" fontId="15" fillId="0" borderId="27" xfId="0" applyNumberFormat="1" applyFont="1" applyBorder="1">
      <alignment vertical="center"/>
    </xf>
    <xf numFmtId="0" fontId="14" fillId="0" borderId="28" xfId="0" applyFont="1" applyFill="1" applyBorder="1" applyAlignment="1">
      <alignment horizontal="center" vertical="center"/>
    </xf>
    <xf numFmtId="6" fontId="15" fillId="0" borderId="29" xfId="0" applyNumberFormat="1" applyFont="1" applyBorder="1">
      <alignment vertical="center"/>
    </xf>
    <xf numFmtId="0" fontId="14" fillId="0" borderId="30" xfId="0" applyFont="1" applyBorder="1" applyAlignment="1">
      <alignment horizontal="center" vertical="center"/>
    </xf>
    <xf numFmtId="6" fontId="15" fillId="0" borderId="31" xfId="0" applyNumberFormat="1" applyFont="1" applyBorder="1">
      <alignment vertical="center"/>
    </xf>
    <xf numFmtId="0" fontId="12" fillId="0" borderId="32" xfId="0" applyFont="1" applyFill="1" applyBorder="1" applyAlignment="1">
      <alignment horizontal="center" vertical="center"/>
    </xf>
    <xf numFmtId="0" fontId="9" fillId="0" borderId="8" xfId="0" applyFont="1" applyFill="1" applyBorder="1">
      <alignment vertical="center"/>
    </xf>
    <xf numFmtId="0" fontId="6" fillId="0" borderId="0" xfId="0" applyFont="1" applyFill="1" applyAlignment="1" applyProtection="1">
      <alignment vertical="center"/>
    </xf>
    <xf numFmtId="0" fontId="16" fillId="0" borderId="0" xfId="0" applyFont="1" applyFill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12" xfId="0" applyFont="1" applyFill="1" applyBorder="1" applyAlignment="1" applyProtection="1">
      <alignment vertical="center"/>
    </xf>
    <xf numFmtId="0" fontId="6" fillId="0" borderId="2" xfId="0" applyFont="1" applyFill="1" applyBorder="1" applyAlignment="1" applyProtection="1">
      <alignment horizontal="center" vertical="center"/>
    </xf>
    <xf numFmtId="9" fontId="6" fillId="0" borderId="5" xfId="0" applyNumberFormat="1" applyFont="1" applyFill="1" applyBorder="1" applyAlignment="1" applyProtection="1">
      <alignment horizontal="center" vertical="center"/>
    </xf>
    <xf numFmtId="0" fontId="6" fillId="4" borderId="12" xfId="0" applyFont="1" applyFill="1" applyBorder="1" applyAlignment="1" applyProtection="1">
      <alignment vertical="center"/>
    </xf>
    <xf numFmtId="38" fontId="5" fillId="4" borderId="11" xfId="0" applyNumberFormat="1" applyFont="1" applyFill="1" applyBorder="1" applyAlignment="1" applyProtection="1">
      <alignment vertical="center"/>
    </xf>
    <xf numFmtId="176" fontId="11" fillId="0" borderId="22" xfId="0" applyNumberFormat="1" applyFont="1" applyFill="1" applyBorder="1" applyAlignment="1">
      <alignment horizontal="right" vertical="center"/>
    </xf>
    <xf numFmtId="38" fontId="11" fillId="0" borderId="8" xfId="1" applyFont="1" applyFill="1" applyBorder="1">
      <alignment vertical="center"/>
    </xf>
    <xf numFmtId="38" fontId="9" fillId="0" borderId="17" xfId="1" applyFont="1" applyFill="1" applyBorder="1">
      <alignment vertical="center"/>
    </xf>
    <xf numFmtId="38" fontId="11" fillId="0" borderId="0" xfId="1" applyFont="1" applyFill="1" applyBorder="1">
      <alignment vertical="center"/>
    </xf>
    <xf numFmtId="176" fontId="11" fillId="0" borderId="8" xfId="0" applyNumberFormat="1" applyFont="1" applyFill="1" applyBorder="1" applyAlignment="1">
      <alignment horizontal="right" vertical="center"/>
    </xf>
    <xf numFmtId="176" fontId="11" fillId="0" borderId="0" xfId="0" applyNumberFormat="1" applyFont="1" applyFill="1" applyBorder="1" applyAlignment="1">
      <alignment horizontal="right" vertical="center"/>
    </xf>
    <xf numFmtId="0" fontId="14" fillId="0" borderId="43" xfId="0" applyFont="1" applyFill="1" applyBorder="1" applyAlignment="1">
      <alignment horizontal="right" vertical="center"/>
    </xf>
    <xf numFmtId="38" fontId="5" fillId="0" borderId="0" xfId="0" applyNumberFormat="1" applyFont="1" applyFill="1" applyBorder="1" applyAlignment="1" applyProtection="1">
      <alignment vertical="center"/>
    </xf>
    <xf numFmtId="38" fontId="6" fillId="0" borderId="0" xfId="1" applyFont="1" applyFill="1" applyBorder="1" applyAlignment="1" applyProtection="1">
      <alignment vertical="center"/>
    </xf>
    <xf numFmtId="8" fontId="13" fillId="0" borderId="1" xfId="0" applyNumberFormat="1" applyFont="1" applyFill="1" applyBorder="1">
      <alignment vertical="center"/>
    </xf>
    <xf numFmtId="0" fontId="6" fillId="5" borderId="44" xfId="0" applyFont="1" applyFill="1" applyBorder="1" applyAlignment="1" applyProtection="1">
      <alignment vertical="center"/>
    </xf>
    <xf numFmtId="0" fontId="6" fillId="5" borderId="45" xfId="0" applyFont="1" applyFill="1" applyBorder="1" applyAlignment="1" applyProtection="1">
      <alignment vertical="center"/>
    </xf>
    <xf numFmtId="0" fontId="6" fillId="5" borderId="46" xfId="0" applyFont="1" applyFill="1" applyBorder="1" applyAlignment="1" applyProtection="1">
      <alignment vertical="center"/>
    </xf>
    <xf numFmtId="0" fontId="6" fillId="5" borderId="47" xfId="0" applyFont="1" applyFill="1" applyBorder="1" applyAlignment="1" applyProtection="1">
      <alignment vertical="center"/>
    </xf>
    <xf numFmtId="0" fontId="17" fillId="5" borderId="0" xfId="0" applyFont="1" applyFill="1" applyBorder="1" applyAlignment="1" applyProtection="1">
      <alignment vertical="center"/>
    </xf>
    <xf numFmtId="0" fontId="6" fillId="5" borderId="0" xfId="0" applyFont="1" applyFill="1" applyBorder="1" applyAlignment="1" applyProtection="1">
      <alignment vertical="center"/>
    </xf>
    <xf numFmtId="0" fontId="6" fillId="5" borderId="48" xfId="0" applyFont="1" applyFill="1" applyBorder="1" applyAlignment="1" applyProtection="1">
      <alignment vertical="center"/>
    </xf>
    <xf numFmtId="0" fontId="6" fillId="5" borderId="49" xfId="0" applyFont="1" applyFill="1" applyBorder="1" applyAlignment="1" applyProtection="1">
      <alignment vertical="center"/>
    </xf>
    <xf numFmtId="0" fontId="6" fillId="5" borderId="50" xfId="0" applyFont="1" applyFill="1" applyBorder="1" applyAlignment="1" applyProtection="1">
      <alignment horizontal="center" vertical="center"/>
    </xf>
    <xf numFmtId="38" fontId="6" fillId="5" borderId="50" xfId="1" applyNumberFormat="1" applyFont="1" applyFill="1" applyBorder="1" applyAlignment="1" applyProtection="1">
      <alignment vertical="center"/>
    </xf>
    <xf numFmtId="0" fontId="6" fillId="5" borderId="50" xfId="0" applyFont="1" applyFill="1" applyBorder="1" applyAlignment="1" applyProtection="1">
      <alignment vertical="center"/>
    </xf>
    <xf numFmtId="0" fontId="6" fillId="5" borderId="51" xfId="0" applyFont="1" applyFill="1" applyBorder="1" applyAlignment="1" applyProtection="1">
      <alignment vertical="center"/>
    </xf>
    <xf numFmtId="38" fontId="6" fillId="6" borderId="11" xfId="0" applyNumberFormat="1" applyFont="1" applyFill="1" applyBorder="1" applyAlignment="1" applyProtection="1">
      <alignment vertical="center"/>
    </xf>
    <xf numFmtId="0" fontId="6" fillId="6" borderId="12" xfId="0" applyFont="1" applyFill="1" applyBorder="1" applyAlignment="1" applyProtection="1">
      <alignment vertical="center"/>
    </xf>
    <xf numFmtId="38" fontId="5" fillId="6" borderId="20" xfId="1" applyNumberFormat="1" applyFont="1" applyFill="1" applyBorder="1" applyAlignment="1" applyProtection="1">
      <alignment vertical="center"/>
    </xf>
    <xf numFmtId="0" fontId="6" fillId="6" borderId="15" xfId="0" applyFont="1" applyFill="1" applyBorder="1" applyAlignment="1" applyProtection="1">
      <alignment vertical="center"/>
    </xf>
    <xf numFmtId="0" fontId="6" fillId="0" borderId="57" xfId="0" applyFont="1" applyFill="1" applyBorder="1" applyAlignment="1" applyProtection="1">
      <alignment vertical="center"/>
    </xf>
    <xf numFmtId="0" fontId="6" fillId="0" borderId="4" xfId="0" applyFont="1" applyFill="1" applyBorder="1" applyAlignment="1" applyProtection="1">
      <alignment vertical="center"/>
    </xf>
    <xf numFmtId="0" fontId="6" fillId="0" borderId="7" xfId="0" applyFont="1" applyFill="1" applyBorder="1" applyAlignment="1" applyProtection="1">
      <alignment vertical="center"/>
    </xf>
    <xf numFmtId="0" fontId="6" fillId="9" borderId="3" xfId="0" applyFont="1" applyFill="1" applyBorder="1" applyAlignment="1" applyProtection="1">
      <alignment vertical="center"/>
      <protection locked="0"/>
    </xf>
    <xf numFmtId="0" fontId="6" fillId="9" borderId="4" xfId="0" applyFont="1" applyFill="1" applyBorder="1" applyAlignment="1" applyProtection="1">
      <alignment vertical="center"/>
    </xf>
    <xf numFmtId="38" fontId="6" fillId="9" borderId="25" xfId="1" applyFont="1" applyFill="1" applyBorder="1" applyAlignment="1" applyProtection="1">
      <alignment vertical="center"/>
      <protection locked="0"/>
    </xf>
    <xf numFmtId="0" fontId="6" fillId="9" borderId="55" xfId="0" applyFont="1" applyFill="1" applyBorder="1" applyAlignment="1" applyProtection="1">
      <alignment vertical="center"/>
    </xf>
    <xf numFmtId="38" fontId="6" fillId="9" borderId="6" xfId="1" applyFont="1" applyFill="1" applyBorder="1" applyAlignment="1" applyProtection="1">
      <alignment vertical="center"/>
      <protection locked="0"/>
    </xf>
    <xf numFmtId="0" fontId="6" fillId="9" borderId="7" xfId="0" applyFont="1" applyFill="1" applyBorder="1" applyAlignment="1" applyProtection="1">
      <alignment vertical="center"/>
    </xf>
    <xf numFmtId="38" fontId="6" fillId="0" borderId="0" xfId="1" applyFont="1" applyFill="1" applyBorder="1" applyAlignment="1" applyProtection="1">
      <alignment horizontal="center" vertical="center"/>
    </xf>
    <xf numFmtId="38" fontId="5" fillId="11" borderId="0" xfId="0" applyNumberFormat="1" applyFont="1" applyFill="1" applyBorder="1" applyAlignment="1" applyProtection="1">
      <alignment vertical="center"/>
    </xf>
    <xf numFmtId="0" fontId="6" fillId="11" borderId="14" xfId="0" applyFont="1" applyFill="1" applyBorder="1" applyAlignment="1" applyProtection="1">
      <alignment vertical="center"/>
    </xf>
    <xf numFmtId="38" fontId="6" fillId="11" borderId="18" xfId="1" applyFont="1" applyFill="1" applyBorder="1" applyAlignment="1" applyProtection="1">
      <alignment vertical="center"/>
    </xf>
    <xf numFmtId="0" fontId="6" fillId="11" borderId="9" xfId="0" applyFont="1" applyFill="1" applyBorder="1" applyAlignment="1" applyProtection="1">
      <alignment vertical="center"/>
    </xf>
    <xf numFmtId="0" fontId="6" fillId="11" borderId="41" xfId="0" applyFont="1" applyFill="1" applyBorder="1" applyAlignment="1" applyProtection="1">
      <alignment horizontal="center" vertical="center"/>
    </xf>
    <xf numFmtId="0" fontId="6" fillId="11" borderId="21" xfId="0" applyFont="1" applyFill="1" applyBorder="1" applyAlignment="1" applyProtection="1">
      <alignment horizontal="center" vertical="center"/>
    </xf>
    <xf numFmtId="38" fontId="6" fillId="11" borderId="42" xfId="1" applyNumberFormat="1" applyFont="1" applyFill="1" applyBorder="1" applyAlignment="1" applyProtection="1">
      <alignment horizontal="center" vertical="center"/>
    </xf>
    <xf numFmtId="0" fontId="6" fillId="11" borderId="28" xfId="0" applyFont="1" applyFill="1" applyBorder="1" applyAlignment="1" applyProtection="1">
      <alignment horizontal="center" vertical="center"/>
    </xf>
    <xf numFmtId="0" fontId="6" fillId="11" borderId="58" xfId="0" applyFont="1" applyFill="1" applyBorder="1" applyAlignment="1" applyProtection="1">
      <alignment horizontal="center" vertical="center"/>
    </xf>
    <xf numFmtId="38" fontId="6" fillId="11" borderId="29" xfId="1" applyFont="1" applyFill="1" applyBorder="1" applyAlignment="1" applyProtection="1">
      <alignment horizontal="center" vertical="center"/>
    </xf>
    <xf numFmtId="0" fontId="6" fillId="11" borderId="30" xfId="0" applyFont="1" applyFill="1" applyBorder="1" applyAlignment="1" applyProtection="1">
      <alignment horizontal="center" vertical="center"/>
    </xf>
    <xf numFmtId="38" fontId="6" fillId="11" borderId="6" xfId="1" applyFont="1" applyFill="1" applyBorder="1" applyAlignment="1" applyProtection="1">
      <alignment horizontal="center" vertical="center"/>
    </xf>
    <xf numFmtId="38" fontId="6" fillId="11" borderId="31" xfId="1" applyFont="1" applyFill="1" applyBorder="1" applyAlignment="1" applyProtection="1">
      <alignment horizontal="center" vertical="center"/>
    </xf>
    <xf numFmtId="0" fontId="6" fillId="11" borderId="42" xfId="0" applyFont="1" applyFill="1" applyBorder="1" applyAlignment="1" applyProtection="1">
      <alignment horizontal="center" vertical="center"/>
    </xf>
    <xf numFmtId="0" fontId="6" fillId="11" borderId="29" xfId="0" applyFont="1" applyFill="1" applyBorder="1" applyAlignment="1" applyProtection="1">
      <alignment horizontal="center" vertical="center"/>
    </xf>
    <xf numFmtId="0" fontId="6" fillId="11" borderId="31" xfId="0" applyFont="1" applyFill="1" applyBorder="1" applyAlignment="1" applyProtection="1">
      <alignment horizontal="center" vertical="center"/>
    </xf>
    <xf numFmtId="0" fontId="6" fillId="10" borderId="30" xfId="0" applyFont="1" applyFill="1" applyBorder="1" applyAlignment="1" applyProtection="1">
      <alignment horizontal="center" vertical="center" wrapText="1"/>
    </xf>
    <xf numFmtId="0" fontId="6" fillId="10" borderId="6" xfId="0" applyFont="1" applyFill="1" applyBorder="1" applyAlignment="1" applyProtection="1">
      <alignment horizontal="center" vertical="center" wrapText="1"/>
    </xf>
    <xf numFmtId="0" fontId="6" fillId="10" borderId="31" xfId="0" applyFont="1" applyFill="1" applyBorder="1" applyAlignment="1" applyProtection="1">
      <alignment horizontal="center" vertical="center" wrapText="1"/>
    </xf>
    <xf numFmtId="0" fontId="6" fillId="10" borderId="30" xfId="0" applyFont="1" applyFill="1" applyBorder="1" applyAlignment="1" applyProtection="1">
      <alignment horizontal="center" vertical="center"/>
    </xf>
    <xf numFmtId="0" fontId="6" fillId="3" borderId="31" xfId="0" applyFont="1" applyFill="1" applyBorder="1" applyAlignment="1" applyProtection="1">
      <alignment horizontal="center" vertical="center" wrapText="1"/>
    </xf>
    <xf numFmtId="0" fontId="6" fillId="3" borderId="30" xfId="0" applyFont="1" applyFill="1" applyBorder="1" applyAlignment="1" applyProtection="1">
      <alignment horizontal="center" vertical="center"/>
    </xf>
    <xf numFmtId="0" fontId="6" fillId="4" borderId="41" xfId="0" applyFont="1" applyFill="1" applyBorder="1" applyAlignment="1" applyProtection="1">
      <alignment horizontal="center" vertical="center"/>
    </xf>
    <xf numFmtId="0" fontId="6" fillId="4" borderId="29" xfId="0" applyFont="1" applyFill="1" applyBorder="1" applyAlignment="1" applyProtection="1">
      <alignment horizontal="center" vertical="center"/>
    </xf>
    <xf numFmtId="0" fontId="6" fillId="4" borderId="30" xfId="0" applyFont="1" applyFill="1" applyBorder="1" applyAlignment="1" applyProtection="1">
      <alignment horizontal="center" vertical="center"/>
    </xf>
    <xf numFmtId="0" fontId="6" fillId="4" borderId="31" xfId="0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5" borderId="0" xfId="0" applyFont="1" applyFill="1" applyAlignment="1" applyProtection="1">
      <alignment vertical="center"/>
    </xf>
    <xf numFmtId="38" fontId="6" fillId="4" borderId="15" xfId="1" applyNumberFormat="1" applyFont="1" applyFill="1" applyBorder="1" applyAlignment="1" applyProtection="1">
      <alignment horizontal="center" vertical="center"/>
    </xf>
    <xf numFmtId="38" fontId="6" fillId="0" borderId="0" xfId="1" applyNumberFormat="1" applyFont="1" applyFill="1" applyBorder="1" applyAlignment="1" applyProtection="1">
      <alignment vertical="center"/>
    </xf>
    <xf numFmtId="0" fontId="6" fillId="12" borderId="10" xfId="0" applyFont="1" applyFill="1" applyBorder="1" applyAlignment="1" applyProtection="1">
      <alignment vertical="center"/>
    </xf>
    <xf numFmtId="0" fontId="6" fillId="12" borderId="11" xfId="0" applyFont="1" applyFill="1" applyBorder="1" applyAlignment="1" applyProtection="1">
      <alignment vertical="center"/>
    </xf>
    <xf numFmtId="0" fontId="6" fillId="12" borderId="12" xfId="0" applyFont="1" applyFill="1" applyBorder="1" applyAlignment="1" applyProtection="1">
      <alignment vertical="center"/>
    </xf>
    <xf numFmtId="0" fontId="6" fillId="12" borderId="13" xfId="0" applyFont="1" applyFill="1" applyBorder="1" applyAlignment="1" applyProtection="1">
      <alignment vertical="center"/>
    </xf>
    <xf numFmtId="0" fontId="16" fillId="12" borderId="0" xfId="0" applyFont="1" applyFill="1" applyBorder="1" applyAlignment="1" applyProtection="1">
      <alignment vertical="center"/>
    </xf>
    <xf numFmtId="0" fontId="6" fillId="12" borderId="0" xfId="0" applyFont="1" applyFill="1" applyBorder="1" applyAlignment="1" applyProtection="1">
      <alignment vertical="center"/>
    </xf>
    <xf numFmtId="0" fontId="6" fillId="12" borderId="14" xfId="0" applyFont="1" applyFill="1" applyBorder="1" applyAlignment="1" applyProtection="1">
      <alignment vertical="center"/>
    </xf>
    <xf numFmtId="0" fontId="6" fillId="12" borderId="8" xfId="0" applyFont="1" applyFill="1" applyBorder="1" applyAlignment="1" applyProtection="1">
      <alignment vertical="center"/>
    </xf>
    <xf numFmtId="0" fontId="6" fillId="12" borderId="0" xfId="0" applyFont="1" applyFill="1" applyBorder="1" applyAlignment="1" applyProtection="1">
      <alignment horizontal="center" vertical="center"/>
    </xf>
    <xf numFmtId="0" fontId="6" fillId="12" borderId="16" xfId="0" applyFont="1" applyFill="1" applyBorder="1" applyAlignment="1" applyProtection="1">
      <alignment vertical="center"/>
    </xf>
    <xf numFmtId="0" fontId="19" fillId="12" borderId="0" xfId="0" applyFont="1" applyFill="1" applyBorder="1" applyAlignment="1" applyProtection="1">
      <alignment vertical="center"/>
    </xf>
    <xf numFmtId="38" fontId="6" fillId="12" borderId="0" xfId="0" applyNumberFormat="1" applyFont="1" applyFill="1" applyBorder="1" applyAlignment="1" applyProtection="1">
      <alignment horizontal="left" vertical="center"/>
    </xf>
    <xf numFmtId="0" fontId="6" fillId="12" borderId="17" xfId="0" applyFont="1" applyFill="1" applyBorder="1" applyAlignment="1" applyProtection="1">
      <alignment vertical="center"/>
    </xf>
    <xf numFmtId="9" fontId="6" fillId="12" borderId="0" xfId="0" applyNumberFormat="1" applyFont="1" applyFill="1" applyBorder="1" applyAlignment="1" applyProtection="1">
      <alignment horizontal="center" vertical="center"/>
    </xf>
    <xf numFmtId="38" fontId="6" fillId="4" borderId="71" xfId="1" applyFont="1" applyFill="1" applyBorder="1" applyAlignment="1" applyProtection="1">
      <alignment vertical="center"/>
    </xf>
    <xf numFmtId="0" fontId="6" fillId="4" borderId="72" xfId="0" applyFont="1" applyFill="1" applyBorder="1" applyAlignment="1" applyProtection="1">
      <alignment vertical="center"/>
    </xf>
    <xf numFmtId="38" fontId="5" fillId="13" borderId="74" xfId="1" applyFont="1" applyFill="1" applyBorder="1" applyAlignment="1" applyProtection="1">
      <alignment vertical="center"/>
    </xf>
    <xf numFmtId="0" fontId="6" fillId="13" borderId="76" xfId="0" applyFont="1" applyFill="1" applyBorder="1" applyAlignment="1" applyProtection="1">
      <alignment vertical="center"/>
    </xf>
    <xf numFmtId="0" fontId="6" fillId="13" borderId="81" xfId="0" applyFont="1" applyFill="1" applyBorder="1" applyAlignment="1" applyProtection="1">
      <alignment vertical="center"/>
    </xf>
    <xf numFmtId="38" fontId="6" fillId="13" borderId="80" xfId="1" applyFont="1" applyFill="1" applyBorder="1" applyAlignment="1" applyProtection="1">
      <alignment vertical="center"/>
    </xf>
    <xf numFmtId="40" fontId="6" fillId="11" borderId="42" xfId="1" applyNumberFormat="1" applyFont="1" applyFill="1" applyBorder="1" applyAlignment="1" applyProtection="1">
      <alignment horizontal="center" vertical="center"/>
    </xf>
    <xf numFmtId="2" fontId="6" fillId="11" borderId="42" xfId="0" applyNumberFormat="1" applyFont="1" applyFill="1" applyBorder="1" applyAlignment="1" applyProtection="1">
      <alignment horizontal="center" vertical="center"/>
    </xf>
    <xf numFmtId="2" fontId="6" fillId="11" borderId="82" xfId="0" applyNumberFormat="1" applyFont="1" applyFill="1" applyBorder="1" applyAlignment="1" applyProtection="1">
      <alignment horizontal="center" vertical="center"/>
    </xf>
    <xf numFmtId="40" fontId="6" fillId="11" borderId="82" xfId="1" applyNumberFormat="1" applyFont="1" applyFill="1" applyBorder="1" applyAlignment="1" applyProtection="1">
      <alignment horizontal="center" vertical="center"/>
    </xf>
    <xf numFmtId="40" fontId="6" fillId="4" borderId="15" xfId="1" applyNumberFormat="1" applyFont="1" applyFill="1" applyBorder="1" applyAlignment="1" applyProtection="1">
      <alignment horizontal="center" vertical="center"/>
    </xf>
    <xf numFmtId="2" fontId="6" fillId="4" borderId="42" xfId="0" applyNumberFormat="1" applyFont="1" applyFill="1" applyBorder="1" applyAlignment="1" applyProtection="1">
      <alignment horizontal="center" vertical="center"/>
    </xf>
    <xf numFmtId="40" fontId="11" fillId="0" borderId="21" xfId="1" applyNumberFormat="1" applyFont="1" applyBorder="1">
      <alignment vertical="center"/>
    </xf>
    <xf numFmtId="8" fontId="13" fillId="0" borderId="1" xfId="1" applyNumberFormat="1" applyFont="1" applyFill="1" applyBorder="1">
      <alignment vertical="center"/>
    </xf>
    <xf numFmtId="40" fontId="9" fillId="2" borderId="14" xfId="1" applyNumberFormat="1" applyFont="1" applyFill="1" applyBorder="1">
      <alignment vertical="center"/>
    </xf>
    <xf numFmtId="0" fontId="6" fillId="4" borderId="34" xfId="0" applyFont="1" applyFill="1" applyBorder="1" applyAlignment="1" applyProtection="1">
      <alignment horizontal="center" vertical="center"/>
    </xf>
    <xf numFmtId="0" fontId="6" fillId="4" borderId="83" xfId="0" applyFont="1" applyFill="1" applyBorder="1" applyAlignment="1" applyProtection="1">
      <alignment horizontal="center" vertical="center"/>
    </xf>
    <xf numFmtId="0" fontId="6" fillId="4" borderId="28" xfId="0" applyFont="1" applyFill="1" applyBorder="1" applyAlignment="1" applyProtection="1">
      <alignment horizontal="center" vertical="center"/>
    </xf>
    <xf numFmtId="2" fontId="6" fillId="4" borderId="27" xfId="0" applyNumberFormat="1" applyFont="1" applyFill="1" applyBorder="1" applyAlignment="1" applyProtection="1">
      <alignment horizontal="center" vertical="center"/>
    </xf>
    <xf numFmtId="2" fontId="6" fillId="4" borderId="82" xfId="0" applyNumberFormat="1" applyFont="1" applyFill="1" applyBorder="1" applyAlignment="1" applyProtection="1">
      <alignment horizontal="center" vertical="center"/>
    </xf>
    <xf numFmtId="0" fontId="6" fillId="3" borderId="31" xfId="0" applyFont="1" applyFill="1" applyBorder="1" applyAlignment="1" applyProtection="1">
      <alignment horizontal="center" vertical="center"/>
    </xf>
    <xf numFmtId="0" fontId="14" fillId="0" borderId="43" xfId="0" applyFont="1" applyBorder="1" applyAlignment="1">
      <alignment horizontal="center" vertical="center"/>
    </xf>
    <xf numFmtId="8" fontId="15" fillId="0" borderId="27" xfId="0" applyNumberFormat="1" applyFont="1" applyBorder="1">
      <alignment vertical="center"/>
    </xf>
    <xf numFmtId="8" fontId="15" fillId="0" borderId="29" xfId="0" applyNumberFormat="1" applyFont="1" applyBorder="1">
      <alignment vertical="center"/>
    </xf>
    <xf numFmtId="8" fontId="15" fillId="0" borderId="84" xfId="0" applyNumberFormat="1" applyFont="1" applyBorder="1">
      <alignment vertical="center"/>
    </xf>
    <xf numFmtId="8" fontId="15" fillId="0" borderId="31" xfId="0" applyNumberFormat="1" applyFont="1" applyBorder="1">
      <alignment vertical="center"/>
    </xf>
    <xf numFmtId="177" fontId="6" fillId="0" borderId="3" xfId="0" applyNumberFormat="1" applyFont="1" applyFill="1" applyBorder="1" applyAlignment="1" applyProtection="1">
      <alignment vertical="center"/>
    </xf>
    <xf numFmtId="177" fontId="6" fillId="0" borderId="6" xfId="1" applyNumberFormat="1" applyFont="1" applyFill="1" applyBorder="1" applyAlignment="1" applyProtection="1">
      <alignment vertical="center"/>
    </xf>
    <xf numFmtId="177" fontId="6" fillId="0" borderId="11" xfId="0" applyNumberFormat="1" applyFont="1" applyFill="1" applyBorder="1" applyAlignment="1" applyProtection="1">
      <alignment vertical="center"/>
    </xf>
    <xf numFmtId="177" fontId="6" fillId="0" borderId="58" xfId="1" applyNumberFormat="1" applyFont="1" applyFill="1" applyBorder="1" applyAlignment="1" applyProtection="1">
      <alignment vertical="center"/>
    </xf>
    <xf numFmtId="38" fontId="6" fillId="0" borderId="0" xfId="1" applyNumberFormat="1" applyFont="1" applyFill="1" applyBorder="1" applyAlignment="1" applyProtection="1">
      <alignment horizontal="center" vertical="center"/>
    </xf>
    <xf numFmtId="0" fontId="6" fillId="10" borderId="6" xfId="0" applyFont="1" applyFill="1" applyBorder="1" applyAlignment="1" applyProtection="1">
      <alignment horizontal="center" vertical="center"/>
    </xf>
    <xf numFmtId="0" fontId="6" fillId="10" borderId="31" xfId="0" applyFont="1" applyFill="1" applyBorder="1" applyAlignment="1" applyProtection="1">
      <alignment horizontal="center" vertical="center"/>
    </xf>
    <xf numFmtId="8" fontId="13" fillId="0" borderId="37" xfId="0" applyNumberFormat="1" applyFont="1" applyFill="1" applyBorder="1">
      <alignment vertical="center"/>
    </xf>
    <xf numFmtId="6" fontId="15" fillId="0" borderId="85" xfId="0" applyNumberFormat="1" applyFont="1" applyBorder="1">
      <alignment vertical="center"/>
    </xf>
    <xf numFmtId="0" fontId="6" fillId="8" borderId="56" xfId="0" applyFont="1" applyFill="1" applyBorder="1" applyAlignment="1" applyProtection="1">
      <alignment horizontal="center" vertical="center"/>
    </xf>
    <xf numFmtId="0" fontId="6" fillId="8" borderId="39" xfId="0" applyFont="1" applyFill="1" applyBorder="1" applyAlignment="1" applyProtection="1">
      <alignment horizontal="center" vertical="center"/>
    </xf>
    <xf numFmtId="0" fontId="6" fillId="8" borderId="68" xfId="0" applyFont="1" applyFill="1" applyBorder="1" applyAlignment="1" applyProtection="1">
      <alignment horizontal="center" vertical="center"/>
    </xf>
    <xf numFmtId="0" fontId="6" fillId="8" borderId="40" xfId="0" applyFont="1" applyFill="1" applyBorder="1" applyAlignment="1" applyProtection="1">
      <alignment horizontal="center" vertical="center"/>
    </xf>
    <xf numFmtId="0" fontId="6" fillId="7" borderId="59" xfId="0" applyFont="1" applyFill="1" applyBorder="1" applyAlignment="1" applyProtection="1">
      <alignment horizontal="center" vertical="center"/>
    </xf>
    <xf numFmtId="0" fontId="6" fillId="7" borderId="15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65" xfId="0" applyFont="1" applyFill="1" applyBorder="1" applyAlignment="1" applyProtection="1">
      <alignment horizontal="center" vertical="center"/>
    </xf>
    <xf numFmtId="0" fontId="6" fillId="0" borderId="56" xfId="0" applyFont="1" applyFill="1" applyBorder="1" applyAlignment="1" applyProtection="1">
      <alignment horizontal="center" vertical="center"/>
    </xf>
    <xf numFmtId="0" fontId="6" fillId="0" borderId="39" xfId="0" applyFont="1" applyFill="1" applyBorder="1" applyAlignment="1" applyProtection="1">
      <alignment horizontal="center" vertical="center"/>
    </xf>
    <xf numFmtId="0" fontId="6" fillId="10" borderId="66" xfId="0" applyFont="1" applyFill="1" applyBorder="1" applyAlignment="1" applyProtection="1">
      <alignment horizontal="center" vertical="center"/>
    </xf>
    <xf numFmtId="0" fontId="6" fillId="10" borderId="67" xfId="0" applyFont="1" applyFill="1" applyBorder="1" applyAlignment="1" applyProtection="1">
      <alignment horizontal="center" vertical="center"/>
    </xf>
    <xf numFmtId="0" fontId="6" fillId="10" borderId="61" xfId="0" applyFont="1" applyFill="1" applyBorder="1" applyAlignment="1" applyProtection="1">
      <alignment horizontal="center" vertical="center"/>
    </xf>
    <xf numFmtId="0" fontId="6" fillId="10" borderId="64" xfId="0" applyFont="1" applyFill="1" applyBorder="1" applyAlignment="1" applyProtection="1">
      <alignment horizontal="center" vertical="center"/>
    </xf>
    <xf numFmtId="0" fontId="6" fillId="0" borderId="53" xfId="0" applyFont="1" applyFill="1" applyBorder="1" applyAlignment="1" applyProtection="1">
      <alignment horizontal="center" vertical="center"/>
    </xf>
    <xf numFmtId="0" fontId="6" fillId="0" borderId="38" xfId="0" applyFont="1" applyFill="1" applyBorder="1" applyAlignment="1" applyProtection="1">
      <alignment horizontal="center" vertical="center"/>
    </xf>
    <xf numFmtId="0" fontId="6" fillId="0" borderId="68" xfId="0" applyFont="1" applyFill="1" applyBorder="1" applyAlignment="1" applyProtection="1">
      <alignment horizontal="center" vertical="center"/>
    </xf>
    <xf numFmtId="0" fontId="6" fillId="0" borderId="40" xfId="0" applyFont="1" applyFill="1" applyBorder="1" applyAlignment="1" applyProtection="1">
      <alignment horizontal="center" vertical="center"/>
    </xf>
    <xf numFmtId="0" fontId="6" fillId="3" borderId="60" xfId="0" applyFont="1" applyFill="1" applyBorder="1" applyAlignment="1" applyProtection="1">
      <alignment horizontal="center" vertical="center" wrapText="1"/>
    </xf>
    <xf numFmtId="0" fontId="6" fillId="3" borderId="63" xfId="0" applyFont="1" applyFill="1" applyBorder="1" applyAlignment="1" applyProtection="1">
      <alignment horizontal="center" vertical="center" wrapText="1"/>
    </xf>
    <xf numFmtId="0" fontId="6" fillId="3" borderId="69" xfId="0" applyFont="1" applyFill="1" applyBorder="1" applyAlignment="1" applyProtection="1">
      <alignment horizontal="center" vertical="center"/>
    </xf>
    <xf numFmtId="0" fontId="6" fillId="3" borderId="70" xfId="0" applyFont="1" applyFill="1" applyBorder="1" applyAlignment="1" applyProtection="1">
      <alignment horizontal="center" vertical="center"/>
    </xf>
    <xf numFmtId="0" fontId="5" fillId="14" borderId="73" xfId="0" applyFont="1" applyFill="1" applyBorder="1" applyAlignment="1" applyProtection="1">
      <alignment horizontal="center" vertical="center"/>
    </xf>
    <xf numFmtId="0" fontId="5" fillId="14" borderId="74" xfId="0" applyFont="1" applyFill="1" applyBorder="1" applyAlignment="1" applyProtection="1">
      <alignment horizontal="center" vertical="center"/>
    </xf>
    <xf numFmtId="0" fontId="5" fillId="14" borderId="75" xfId="0" applyFont="1" applyFill="1" applyBorder="1" applyAlignment="1" applyProtection="1">
      <alignment horizontal="center" vertical="center"/>
    </xf>
    <xf numFmtId="0" fontId="5" fillId="14" borderId="77" xfId="0" applyFont="1" applyFill="1" applyBorder="1" applyAlignment="1" applyProtection="1">
      <alignment horizontal="center" vertical="center"/>
    </xf>
    <xf numFmtId="0" fontId="5" fillId="14" borderId="78" xfId="0" applyFont="1" applyFill="1" applyBorder="1" applyAlignment="1" applyProtection="1">
      <alignment horizontal="center" vertical="center"/>
    </xf>
    <xf numFmtId="0" fontId="5" fillId="14" borderId="79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horizontal="center" vertical="center" textRotation="255" wrapText="1"/>
    </xf>
    <xf numFmtId="0" fontId="5" fillId="3" borderId="54" xfId="0" applyFont="1" applyFill="1" applyBorder="1" applyAlignment="1" applyProtection="1">
      <alignment horizontal="center" vertical="center" textRotation="255"/>
    </xf>
    <xf numFmtId="0" fontId="6" fillId="10" borderId="26" xfId="0" applyFont="1" applyFill="1" applyBorder="1" applyAlignment="1" applyProtection="1">
      <alignment horizontal="center" vertical="center"/>
    </xf>
    <xf numFmtId="0" fontId="6" fillId="10" borderId="3" xfId="0" applyFont="1" applyFill="1" applyBorder="1" applyAlignment="1" applyProtection="1">
      <alignment horizontal="center" vertical="center"/>
    </xf>
    <xf numFmtId="0" fontId="6" fillId="10" borderId="27" xfId="0" applyFont="1" applyFill="1" applyBorder="1" applyAlignment="1" applyProtection="1">
      <alignment horizontal="center" vertical="center"/>
    </xf>
    <xf numFmtId="38" fontId="6" fillId="9" borderId="58" xfId="1" applyFont="1" applyFill="1" applyBorder="1" applyAlignment="1" applyProtection="1">
      <alignment horizontal="center" vertical="center"/>
      <protection locked="0"/>
    </xf>
    <xf numFmtId="38" fontId="6" fillId="9" borderId="57" xfId="1" applyFont="1" applyFill="1" applyBorder="1" applyAlignment="1" applyProtection="1">
      <alignment horizontal="center" vertical="center"/>
      <protection locked="0"/>
    </xf>
    <xf numFmtId="0" fontId="5" fillId="10" borderId="19" xfId="0" applyFont="1" applyFill="1" applyBorder="1" applyAlignment="1" applyProtection="1">
      <alignment horizontal="center" vertical="center" textRotation="255"/>
    </xf>
    <xf numFmtId="0" fontId="5" fillId="10" borderId="54" xfId="0" applyFont="1" applyFill="1" applyBorder="1" applyAlignment="1" applyProtection="1">
      <alignment horizontal="center" vertical="center" textRotation="255"/>
    </xf>
    <xf numFmtId="0" fontId="5" fillId="10" borderId="52" xfId="0" applyFont="1" applyFill="1" applyBorder="1" applyAlignment="1" applyProtection="1">
      <alignment horizontal="center" vertical="center" textRotation="255"/>
    </xf>
    <xf numFmtId="0" fontId="6" fillId="3" borderId="26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3" borderId="27" xfId="0" applyFont="1" applyFill="1" applyBorder="1" applyAlignment="1" applyProtection="1">
      <alignment horizontal="center" vertical="center"/>
    </xf>
    <xf numFmtId="0" fontId="6" fillId="3" borderId="68" xfId="0" applyFont="1" applyFill="1" applyBorder="1" applyAlignment="1" applyProtection="1">
      <alignment horizontal="center" vertical="center" wrapText="1"/>
    </xf>
    <xf numFmtId="0" fontId="6" fillId="3" borderId="40" xfId="0" applyFont="1" applyFill="1" applyBorder="1" applyAlignment="1" applyProtection="1">
      <alignment horizontal="center" vertical="center" wrapText="1"/>
    </xf>
    <xf numFmtId="38" fontId="6" fillId="4" borderId="59" xfId="1" applyNumberFormat="1" applyFont="1" applyFill="1" applyBorder="1" applyAlignment="1" applyProtection="1">
      <alignment horizontal="center" vertical="center"/>
    </xf>
    <xf numFmtId="38" fontId="6" fillId="4" borderId="62" xfId="1" applyNumberFormat="1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4" borderId="59" xfId="0" applyFont="1" applyFill="1" applyBorder="1" applyAlignment="1" applyProtection="1">
      <alignment horizontal="center" vertical="center"/>
    </xf>
    <xf numFmtId="0" fontId="6" fillId="4" borderId="15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 wrapText="1"/>
    </xf>
    <xf numFmtId="38" fontId="6" fillId="4" borderId="20" xfId="1" applyNumberFormat="1" applyFont="1" applyFill="1" applyBorder="1" applyAlignment="1" applyProtection="1">
      <alignment horizontal="center" vertical="center"/>
    </xf>
    <xf numFmtId="38" fontId="6" fillId="4" borderId="15" xfId="1" applyNumberFormat="1" applyFont="1" applyFill="1" applyBorder="1" applyAlignment="1" applyProtection="1">
      <alignment horizontal="center" vertical="center"/>
    </xf>
    <xf numFmtId="0" fontId="5" fillId="8" borderId="19" xfId="0" applyFont="1" applyFill="1" applyBorder="1" applyAlignment="1" applyProtection="1">
      <alignment horizontal="center" vertical="center" textRotation="255"/>
    </xf>
    <xf numFmtId="0" fontId="5" fillId="8" borderId="54" xfId="0" applyFont="1" applyFill="1" applyBorder="1" applyAlignment="1" applyProtection="1">
      <alignment horizontal="center" vertical="center" textRotation="255"/>
    </xf>
    <xf numFmtId="0" fontId="5" fillId="8" borderId="52" xfId="0" applyFont="1" applyFill="1" applyBorder="1" applyAlignment="1" applyProtection="1">
      <alignment horizontal="center" vertical="center" textRotation="255"/>
    </xf>
    <xf numFmtId="0" fontId="6" fillId="8" borderId="53" xfId="0" applyFont="1" applyFill="1" applyBorder="1" applyAlignment="1" applyProtection="1">
      <alignment horizontal="center" vertical="center"/>
    </xf>
    <xf numFmtId="0" fontId="6" fillId="8" borderId="38" xfId="0" applyFont="1" applyFill="1" applyBorder="1" applyAlignment="1" applyProtection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 textRotation="255"/>
    </xf>
    <xf numFmtId="0" fontId="4" fillId="0" borderId="35" xfId="0" applyFont="1" applyBorder="1" applyAlignment="1">
      <alignment horizontal="center" vertical="center" textRotation="255"/>
    </xf>
    <xf numFmtId="0" fontId="4" fillId="0" borderId="36" xfId="0" applyFont="1" applyBorder="1" applyAlignment="1">
      <alignment horizontal="center" vertical="center" textRotation="255"/>
    </xf>
    <xf numFmtId="40" fontId="6" fillId="4" borderId="59" xfId="1" applyNumberFormat="1" applyFont="1" applyFill="1" applyBorder="1" applyAlignment="1" applyProtection="1">
      <alignment horizontal="center" vertical="center"/>
    </xf>
    <xf numFmtId="40" fontId="6" fillId="4" borderId="20" xfId="1" applyNumberFormat="1" applyFont="1" applyFill="1" applyBorder="1" applyAlignment="1" applyProtection="1">
      <alignment horizontal="center" vertical="center"/>
    </xf>
    <xf numFmtId="40" fontId="6" fillId="4" borderId="15" xfId="1" applyNumberFormat="1" applyFont="1" applyFill="1" applyBorder="1" applyAlignment="1" applyProtection="1">
      <alignment horizontal="center" vertical="center"/>
    </xf>
    <xf numFmtId="2" fontId="6" fillId="4" borderId="59" xfId="0" applyNumberFormat="1" applyFont="1" applyFill="1" applyBorder="1" applyAlignment="1" applyProtection="1">
      <alignment horizontal="center" vertical="center"/>
    </xf>
    <xf numFmtId="2" fontId="6" fillId="4" borderId="15" xfId="0" applyNumberFormat="1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99"/>
      <color rgb="FFCCFFCC"/>
      <color rgb="FFFFFFCC"/>
      <color rgb="FF66FFFF"/>
      <color rgb="FFCCFFFF"/>
      <color rgb="FF00FFFF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61"/>
  <sheetViews>
    <sheetView tabSelected="1" zoomScale="75" zoomScaleNormal="75" workbookViewId="0">
      <selection activeCell="F44" sqref="F44 F57"/>
    </sheetView>
  </sheetViews>
  <sheetFormatPr defaultRowHeight="14.25"/>
  <cols>
    <col min="1" max="2" width="5.625" style="40" customWidth="1"/>
    <col min="3" max="3" width="3.625" style="40" customWidth="1"/>
    <col min="4" max="4" width="13.625" style="40" customWidth="1"/>
    <col min="5" max="5" width="10.625" style="40" customWidth="1"/>
    <col min="6" max="6" width="13.625" style="40" customWidth="1"/>
    <col min="7" max="7" width="4.625" style="40" customWidth="1"/>
    <col min="8" max="8" width="20.625" style="40" customWidth="1"/>
    <col min="9" max="9" width="10.625" style="40" customWidth="1"/>
    <col min="10" max="15" width="5.625" style="40" customWidth="1"/>
    <col min="16" max="16384" width="9" style="40"/>
  </cols>
  <sheetData>
    <row r="1" spans="3:10" ht="19.5" thickBot="1">
      <c r="C1" s="41" t="s">
        <v>27</v>
      </c>
    </row>
    <row r="2" spans="3:10" ht="20.100000000000001" customHeight="1">
      <c r="D2" s="194" t="s">
        <v>16</v>
      </c>
      <c r="E2" s="195"/>
      <c r="F2" s="196"/>
      <c r="H2" s="194" t="s">
        <v>28</v>
      </c>
      <c r="I2" s="196"/>
      <c r="J2" s="42"/>
    </row>
    <row r="3" spans="3:10" ht="29.25" thickBot="1">
      <c r="D3" s="101" t="s">
        <v>12</v>
      </c>
      <c r="E3" s="102" t="s">
        <v>64</v>
      </c>
      <c r="F3" s="103" t="s">
        <v>14</v>
      </c>
      <c r="H3" s="104" t="s">
        <v>2</v>
      </c>
      <c r="I3" s="103" t="s">
        <v>13</v>
      </c>
      <c r="J3" s="43"/>
    </row>
    <row r="4" spans="3:10" ht="20.100000000000001" customHeight="1">
      <c r="D4" s="89">
        <v>13</v>
      </c>
      <c r="E4" s="90">
        <v>20</v>
      </c>
      <c r="F4" s="91">
        <v>2900</v>
      </c>
      <c r="H4" s="89" t="s">
        <v>33</v>
      </c>
      <c r="I4" s="98">
        <v>140</v>
      </c>
      <c r="J4" s="42"/>
    </row>
    <row r="5" spans="3:10" ht="20.100000000000001" customHeight="1">
      <c r="D5" s="92">
        <v>20</v>
      </c>
      <c r="E5" s="93">
        <v>30</v>
      </c>
      <c r="F5" s="94">
        <v>5800</v>
      </c>
      <c r="H5" s="92" t="s">
        <v>34</v>
      </c>
      <c r="I5" s="99">
        <v>150</v>
      </c>
      <c r="J5" s="42"/>
    </row>
    <row r="6" spans="3:10" ht="20.100000000000001" customHeight="1">
      <c r="D6" s="92">
        <v>25</v>
      </c>
      <c r="E6" s="93">
        <v>50</v>
      </c>
      <c r="F6" s="94">
        <v>10000</v>
      </c>
      <c r="H6" s="92" t="s">
        <v>35</v>
      </c>
      <c r="I6" s="99">
        <v>170</v>
      </c>
      <c r="J6" s="42"/>
    </row>
    <row r="7" spans="3:10" ht="20.100000000000001" customHeight="1">
      <c r="D7" s="92">
        <v>30</v>
      </c>
      <c r="E7" s="93">
        <v>70</v>
      </c>
      <c r="F7" s="94">
        <v>14000</v>
      </c>
      <c r="H7" s="92" t="s">
        <v>36</v>
      </c>
      <c r="I7" s="99">
        <v>180</v>
      </c>
      <c r="J7" s="42"/>
    </row>
    <row r="8" spans="3:10" ht="20.100000000000001" customHeight="1" thickBot="1">
      <c r="D8" s="92">
        <v>40</v>
      </c>
      <c r="E8" s="93">
        <v>100</v>
      </c>
      <c r="F8" s="94">
        <v>20000</v>
      </c>
      <c r="H8" s="95" t="s">
        <v>4</v>
      </c>
      <c r="I8" s="100">
        <v>190</v>
      </c>
      <c r="J8" s="42"/>
    </row>
    <row r="9" spans="3:10" ht="20.100000000000001" customHeight="1">
      <c r="D9" s="92">
        <v>50</v>
      </c>
      <c r="E9" s="93">
        <v>500</v>
      </c>
      <c r="F9" s="94">
        <v>100000</v>
      </c>
    </row>
    <row r="10" spans="3:10" ht="20.100000000000001" customHeight="1" thickBot="1">
      <c r="D10" s="95">
        <v>75</v>
      </c>
      <c r="E10" s="96">
        <v>1000</v>
      </c>
      <c r="F10" s="97">
        <v>200000</v>
      </c>
    </row>
    <row r="11" spans="3:10" ht="20.100000000000001" customHeight="1">
      <c r="D11" s="1" t="s">
        <v>76</v>
      </c>
      <c r="E11" s="84"/>
      <c r="F11" s="84"/>
    </row>
    <row r="12" spans="3:10" ht="15" customHeight="1">
      <c r="D12" s="42"/>
      <c r="E12" s="84"/>
      <c r="F12" s="84"/>
    </row>
    <row r="13" spans="3:10" ht="19.5" thickBot="1">
      <c r="C13" s="41" t="s">
        <v>65</v>
      </c>
    </row>
    <row r="14" spans="3:10" ht="18.75">
      <c r="C14" s="41"/>
      <c r="D14" s="202" t="s">
        <v>16</v>
      </c>
      <c r="E14" s="203"/>
      <c r="F14" s="204"/>
      <c r="H14" s="202" t="s">
        <v>28</v>
      </c>
      <c r="I14" s="204"/>
    </row>
    <row r="15" spans="3:10" ht="29.25" thickBot="1">
      <c r="C15" s="41"/>
      <c r="D15" s="205" t="s">
        <v>64</v>
      </c>
      <c r="E15" s="206"/>
      <c r="F15" s="111" t="s">
        <v>14</v>
      </c>
      <c r="H15" s="106" t="s">
        <v>2</v>
      </c>
      <c r="I15" s="105" t="s">
        <v>13</v>
      </c>
    </row>
    <row r="16" spans="3:10" ht="19.5" thickBot="1">
      <c r="C16" s="41"/>
      <c r="D16" s="207">
        <v>15</v>
      </c>
      <c r="E16" s="208"/>
      <c r="F16" s="113">
        <v>1800</v>
      </c>
      <c r="H16" s="144" t="s">
        <v>82</v>
      </c>
      <c r="I16" s="145">
        <v>125</v>
      </c>
    </row>
    <row r="17" spans="2:14" ht="18.75">
      <c r="C17" s="41"/>
      <c r="D17" s="159"/>
      <c r="E17" s="159"/>
      <c r="F17" s="159"/>
      <c r="H17" s="146" t="s">
        <v>93</v>
      </c>
      <c r="I17" s="108">
        <v>130</v>
      </c>
    </row>
    <row r="18" spans="2:14" ht="20.100000000000001" customHeight="1">
      <c r="D18" s="42"/>
      <c r="E18" s="42"/>
      <c r="F18" s="84"/>
      <c r="H18" s="107" t="s">
        <v>66</v>
      </c>
      <c r="I18" s="108">
        <v>135</v>
      </c>
    </row>
    <row r="19" spans="2:14" ht="20.100000000000001" customHeight="1" thickBot="1">
      <c r="D19" s="42"/>
      <c r="E19" s="42"/>
      <c r="F19" s="84"/>
      <c r="H19" s="109" t="s">
        <v>67</v>
      </c>
      <c r="I19" s="110">
        <v>140</v>
      </c>
    </row>
    <row r="20" spans="2:14" ht="20.100000000000001" customHeight="1">
      <c r="D20" s="1" t="s">
        <v>75</v>
      </c>
      <c r="E20" s="1"/>
      <c r="F20" s="57"/>
      <c r="H20" s="1"/>
      <c r="I20" s="1"/>
    </row>
    <row r="21" spans="2:14" ht="15" customHeight="1">
      <c r="D21" s="42"/>
      <c r="E21" s="84"/>
      <c r="F21" s="84"/>
    </row>
    <row r="22" spans="2:14" ht="19.5" thickBot="1">
      <c r="C22" s="41" t="s">
        <v>68</v>
      </c>
    </row>
    <row r="23" spans="2:14" ht="18.75">
      <c r="C23" s="41"/>
      <c r="D23" s="202" t="s">
        <v>16</v>
      </c>
      <c r="E23" s="203"/>
      <c r="F23" s="204"/>
      <c r="H23" s="202" t="s">
        <v>69</v>
      </c>
      <c r="I23" s="204"/>
    </row>
    <row r="24" spans="2:14" ht="20.100000000000001" customHeight="1" thickBot="1">
      <c r="C24" s="41"/>
      <c r="D24" s="205" t="s">
        <v>73</v>
      </c>
      <c r="E24" s="212"/>
      <c r="F24" s="209"/>
      <c r="H24" s="205" t="s">
        <v>74</v>
      </c>
      <c r="I24" s="209"/>
    </row>
    <row r="25" spans="2:14" ht="19.5" thickBot="1">
      <c r="C25" s="41"/>
      <c r="D25" s="207">
        <v>1505</v>
      </c>
      <c r="E25" s="213"/>
      <c r="F25" s="214"/>
      <c r="H25" s="210">
        <v>376</v>
      </c>
      <c r="I25" s="211"/>
    </row>
    <row r="26" spans="2:14" ht="18.75">
      <c r="C26" s="41"/>
      <c r="D26" s="114" t="s">
        <v>77</v>
      </c>
      <c r="E26" s="114"/>
      <c r="F26" s="114"/>
      <c r="H26" s="1"/>
      <c r="I26" s="1"/>
    </row>
    <row r="27" spans="2:14" ht="15" thickBot="1"/>
    <row r="28" spans="2:14">
      <c r="B28" s="115"/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7"/>
    </row>
    <row r="29" spans="2:14" ht="18.75">
      <c r="B29" s="118"/>
      <c r="C29" s="119" t="s">
        <v>70</v>
      </c>
      <c r="D29" s="119"/>
      <c r="E29" s="119"/>
      <c r="F29" s="120"/>
      <c r="G29" s="120"/>
      <c r="H29" s="120"/>
      <c r="I29" s="120"/>
      <c r="J29" s="120"/>
      <c r="K29" s="120"/>
      <c r="L29" s="120"/>
      <c r="M29" s="120"/>
      <c r="N29" s="121"/>
    </row>
    <row r="30" spans="2:14">
      <c r="B30" s="118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1"/>
    </row>
    <row r="31" spans="2:14" ht="15" thickBot="1">
      <c r="B31" s="118"/>
      <c r="C31" s="120" t="s">
        <v>61</v>
      </c>
      <c r="D31" s="122"/>
      <c r="E31" s="120"/>
      <c r="F31" s="123"/>
      <c r="G31" s="123"/>
      <c r="H31" s="123"/>
      <c r="I31" s="120"/>
      <c r="J31" s="120"/>
      <c r="K31" s="120"/>
      <c r="L31" s="120"/>
      <c r="M31" s="120"/>
      <c r="N31" s="121"/>
    </row>
    <row r="32" spans="2:14" ht="24.95" customHeight="1">
      <c r="B32" s="118"/>
      <c r="C32" s="215" t="s">
        <v>62</v>
      </c>
      <c r="D32" s="218" t="s">
        <v>0</v>
      </c>
      <c r="E32" s="219"/>
      <c r="F32" s="78">
        <v>13</v>
      </c>
      <c r="G32" s="79" t="s">
        <v>1</v>
      </c>
      <c r="H32" s="125" t="s">
        <v>39</v>
      </c>
      <c r="I32" s="120"/>
      <c r="J32" s="120"/>
      <c r="K32" s="120"/>
      <c r="L32" s="120"/>
      <c r="M32" s="120"/>
      <c r="N32" s="121"/>
    </row>
    <row r="33" spans="2:14" ht="24.95" customHeight="1">
      <c r="B33" s="118"/>
      <c r="C33" s="216"/>
      <c r="D33" s="164" t="s">
        <v>15</v>
      </c>
      <c r="E33" s="165"/>
      <c r="F33" s="80">
        <v>20</v>
      </c>
      <c r="G33" s="81" t="s">
        <v>3</v>
      </c>
      <c r="H33" s="125" t="s">
        <v>40</v>
      </c>
      <c r="I33" s="120"/>
      <c r="J33" s="120"/>
      <c r="K33" s="120"/>
      <c r="L33" s="120"/>
      <c r="M33" s="120"/>
      <c r="N33" s="121"/>
    </row>
    <row r="34" spans="2:14" ht="24.95" customHeight="1">
      <c r="B34" s="118"/>
      <c r="C34" s="216"/>
      <c r="D34" s="164" t="s">
        <v>47</v>
      </c>
      <c r="E34" s="165"/>
      <c r="F34" s="197" t="s">
        <v>94</v>
      </c>
      <c r="G34" s="198"/>
      <c r="H34" s="125" t="s">
        <v>51</v>
      </c>
      <c r="I34" s="120"/>
      <c r="J34" s="120"/>
      <c r="K34" s="120"/>
      <c r="L34" s="120"/>
      <c r="M34" s="120"/>
      <c r="N34" s="121"/>
    </row>
    <row r="35" spans="2:14" ht="24.95" customHeight="1" thickBot="1">
      <c r="B35" s="118"/>
      <c r="C35" s="217"/>
      <c r="D35" s="166" t="s">
        <v>48</v>
      </c>
      <c r="E35" s="167"/>
      <c r="F35" s="82"/>
      <c r="G35" s="83" t="s">
        <v>49</v>
      </c>
      <c r="H35" s="125" t="s">
        <v>50</v>
      </c>
      <c r="I35" s="120"/>
      <c r="J35" s="120"/>
      <c r="K35" s="120"/>
      <c r="L35" s="120"/>
      <c r="M35" s="120"/>
      <c r="N35" s="121"/>
    </row>
    <row r="36" spans="2:14">
      <c r="B36" s="118"/>
      <c r="C36" s="120"/>
      <c r="D36" s="123"/>
      <c r="E36" s="123"/>
      <c r="F36" s="123"/>
      <c r="G36" s="123"/>
      <c r="H36" s="123"/>
      <c r="I36" s="120"/>
      <c r="J36" s="120"/>
      <c r="K36" s="120"/>
      <c r="L36" s="120"/>
      <c r="M36" s="120"/>
      <c r="N36" s="121"/>
    </row>
    <row r="37" spans="2:14" ht="15" thickBot="1">
      <c r="B37" s="118"/>
      <c r="C37" s="120"/>
      <c r="D37" s="120" t="s">
        <v>11</v>
      </c>
      <c r="E37" s="120"/>
      <c r="F37" s="120"/>
      <c r="G37" s="120"/>
      <c r="H37" s="120"/>
      <c r="I37" s="120"/>
      <c r="J37" s="120"/>
      <c r="K37" s="120"/>
      <c r="L37" s="120"/>
      <c r="M37" s="120"/>
      <c r="N37" s="121"/>
    </row>
    <row r="38" spans="2:14" ht="20.100000000000001" customHeight="1">
      <c r="B38" s="118"/>
      <c r="C38" s="120"/>
      <c r="D38" s="45" t="s">
        <v>17</v>
      </c>
      <c r="E38" s="123"/>
      <c r="F38" s="120"/>
      <c r="G38" s="120"/>
      <c r="H38" s="120"/>
      <c r="I38" s="120"/>
      <c r="J38" s="120"/>
      <c r="K38" s="120"/>
      <c r="L38" s="120"/>
      <c r="M38" s="120"/>
      <c r="N38" s="121"/>
    </row>
    <row r="39" spans="2:14" ht="20.100000000000001" customHeight="1" thickBot="1">
      <c r="B39" s="118"/>
      <c r="C39" s="120"/>
      <c r="D39" s="46">
        <v>0.1</v>
      </c>
      <c r="E39" s="128"/>
      <c r="F39" s="120"/>
      <c r="G39" s="120"/>
      <c r="H39" s="120"/>
      <c r="I39" s="120"/>
      <c r="J39" s="120"/>
      <c r="K39" s="120"/>
      <c r="L39" s="120"/>
      <c r="M39" s="120"/>
      <c r="N39" s="121"/>
    </row>
    <row r="40" spans="2:14">
      <c r="B40" s="118"/>
      <c r="C40" s="120"/>
      <c r="D40" s="123"/>
      <c r="E40" s="123"/>
      <c r="F40" s="123"/>
      <c r="G40" s="123"/>
      <c r="H40" s="123"/>
      <c r="I40" s="120"/>
      <c r="J40" s="120"/>
      <c r="K40" s="120"/>
      <c r="L40" s="120"/>
      <c r="M40" s="120"/>
      <c r="N40" s="121"/>
    </row>
    <row r="41" spans="2:14" ht="15" thickBot="1">
      <c r="B41" s="118"/>
      <c r="C41" s="120" t="s">
        <v>63</v>
      </c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21"/>
    </row>
    <row r="42" spans="2:14" ht="24.95" customHeight="1">
      <c r="B42" s="118"/>
      <c r="C42" s="199" t="s">
        <v>53</v>
      </c>
      <c r="D42" s="170" t="s">
        <v>5</v>
      </c>
      <c r="E42" s="171"/>
      <c r="F42" s="157">
        <f>詳細計算!D45</f>
        <v>3190</v>
      </c>
      <c r="G42" s="44" t="s">
        <v>6</v>
      </c>
      <c r="H42" s="120" t="s">
        <v>7</v>
      </c>
      <c r="I42" s="120"/>
      <c r="J42" s="120"/>
      <c r="K42" s="120"/>
      <c r="L42" s="120"/>
      <c r="M42" s="120"/>
      <c r="N42" s="121"/>
    </row>
    <row r="43" spans="2:14" ht="24.95" customHeight="1">
      <c r="B43" s="118"/>
      <c r="C43" s="200"/>
      <c r="D43" s="172" t="s">
        <v>8</v>
      </c>
      <c r="E43" s="173"/>
      <c r="F43" s="158">
        <f>詳細計算!D46</f>
        <v>0</v>
      </c>
      <c r="G43" s="75" t="s">
        <v>6</v>
      </c>
      <c r="H43" s="126" t="s">
        <v>9</v>
      </c>
      <c r="I43" s="120"/>
      <c r="J43" s="120"/>
      <c r="K43" s="120"/>
      <c r="L43" s="120"/>
      <c r="M43" s="120"/>
      <c r="N43" s="121"/>
    </row>
    <row r="44" spans="2:14" ht="24.95" customHeight="1">
      <c r="B44" s="118"/>
      <c r="C44" s="200"/>
      <c r="D44" s="174" t="s">
        <v>54</v>
      </c>
      <c r="E44" s="175"/>
      <c r="F44" s="85">
        <f>詳細計算!D47</f>
        <v>3190</v>
      </c>
      <c r="G44" s="86" t="s">
        <v>6</v>
      </c>
      <c r="H44" s="120" t="s">
        <v>25</v>
      </c>
      <c r="I44" s="120"/>
      <c r="J44" s="120"/>
      <c r="K44" s="120"/>
      <c r="L44" s="120"/>
      <c r="M44" s="120"/>
      <c r="N44" s="121"/>
    </row>
    <row r="45" spans="2:14" ht="24.95" customHeight="1" thickBot="1">
      <c r="B45" s="118"/>
      <c r="C45" s="201"/>
      <c r="D45" s="176" t="s">
        <v>10</v>
      </c>
      <c r="E45" s="177"/>
      <c r="F45" s="87">
        <f>詳細計算!D48</f>
        <v>290</v>
      </c>
      <c r="G45" s="88" t="s">
        <v>6</v>
      </c>
      <c r="H45" s="120" t="s">
        <v>58</v>
      </c>
      <c r="I45" s="120"/>
      <c r="J45" s="120"/>
      <c r="K45" s="120"/>
      <c r="L45" s="120"/>
      <c r="M45" s="120"/>
      <c r="N45" s="121"/>
    </row>
    <row r="46" spans="2:14" ht="24.95" customHeight="1">
      <c r="B46" s="118"/>
      <c r="C46" s="192" t="s">
        <v>55</v>
      </c>
      <c r="D46" s="178" t="s">
        <v>5</v>
      </c>
      <c r="E46" s="179"/>
      <c r="F46" s="155">
        <f>下水道詳細計算!D17</f>
        <v>1980</v>
      </c>
      <c r="G46" s="76" t="s">
        <v>6</v>
      </c>
      <c r="H46" s="120" t="s">
        <v>60</v>
      </c>
      <c r="I46" s="120"/>
      <c r="J46" s="120"/>
      <c r="K46" s="120"/>
      <c r="L46" s="120"/>
      <c r="M46" s="120"/>
      <c r="N46" s="121"/>
    </row>
    <row r="47" spans="2:14" ht="24.95" customHeight="1" thickBot="1">
      <c r="B47" s="118"/>
      <c r="C47" s="193"/>
      <c r="D47" s="180" t="s">
        <v>72</v>
      </c>
      <c r="E47" s="181"/>
      <c r="F47" s="156">
        <f>下水道詳細計算!D18</f>
        <v>687.5</v>
      </c>
      <c r="G47" s="77" t="s">
        <v>6</v>
      </c>
      <c r="H47" s="126" t="s">
        <v>59</v>
      </c>
      <c r="I47" s="120"/>
      <c r="J47" s="120"/>
      <c r="K47" s="120"/>
      <c r="L47" s="120"/>
      <c r="M47" s="120"/>
      <c r="N47" s="121"/>
    </row>
    <row r="48" spans="2:14" ht="24.95" customHeight="1">
      <c r="B48" s="118"/>
      <c r="C48" s="193"/>
      <c r="D48" s="182" t="s">
        <v>54</v>
      </c>
      <c r="E48" s="183"/>
      <c r="F48" s="48">
        <f>下水道詳細計算!D19</f>
        <v>2667</v>
      </c>
      <c r="G48" s="47" t="s">
        <v>6</v>
      </c>
      <c r="H48" s="120" t="s">
        <v>71</v>
      </c>
      <c r="I48" s="120"/>
      <c r="J48" s="120"/>
      <c r="K48" s="120"/>
      <c r="L48" s="120"/>
      <c r="M48" s="120"/>
      <c r="N48" s="121"/>
    </row>
    <row r="49" spans="2:14" ht="24.95" customHeight="1" thickBot="1">
      <c r="B49" s="118"/>
      <c r="C49" s="193"/>
      <c r="D49" s="184" t="s">
        <v>10</v>
      </c>
      <c r="E49" s="185"/>
      <c r="F49" s="129">
        <f>下水道詳細計算!D20</f>
        <v>242</v>
      </c>
      <c r="G49" s="130" t="s">
        <v>6</v>
      </c>
      <c r="H49" s="120" t="s">
        <v>57</v>
      </c>
      <c r="I49" s="120"/>
      <c r="J49" s="120"/>
      <c r="K49" s="120"/>
      <c r="L49" s="120"/>
      <c r="M49" s="120"/>
      <c r="N49" s="121"/>
    </row>
    <row r="50" spans="2:14" ht="24.95" customHeight="1" thickTop="1">
      <c r="B50" s="118"/>
      <c r="C50" s="186" t="s">
        <v>78</v>
      </c>
      <c r="D50" s="187"/>
      <c r="E50" s="188"/>
      <c r="F50" s="131">
        <f>F44+F48</f>
        <v>5857</v>
      </c>
      <c r="G50" s="132" t="s">
        <v>6</v>
      </c>
      <c r="H50" s="120"/>
      <c r="I50" s="120"/>
      <c r="J50" s="120"/>
      <c r="K50" s="120"/>
      <c r="L50" s="120"/>
      <c r="M50" s="120"/>
      <c r="N50" s="121"/>
    </row>
    <row r="51" spans="2:14" ht="24.95" customHeight="1" thickBot="1">
      <c r="B51" s="118"/>
      <c r="C51" s="189" t="s">
        <v>79</v>
      </c>
      <c r="D51" s="190"/>
      <c r="E51" s="191"/>
      <c r="F51" s="134">
        <f>F45+F49</f>
        <v>532</v>
      </c>
      <c r="G51" s="133" t="s">
        <v>6</v>
      </c>
      <c r="H51" s="120"/>
      <c r="I51" s="120"/>
      <c r="J51" s="120"/>
      <c r="K51" s="120"/>
      <c r="L51" s="120"/>
      <c r="M51" s="120"/>
      <c r="N51" s="121"/>
    </row>
    <row r="52" spans="2:14" ht="15.75" thickTop="1" thickBot="1">
      <c r="B52" s="124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7"/>
    </row>
    <row r="53" spans="2:14" ht="15" thickBot="1"/>
    <row r="54" spans="2:14" ht="15" thickTop="1">
      <c r="B54" s="59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1"/>
    </row>
    <row r="55" spans="2:14" ht="18.75">
      <c r="B55" s="62"/>
      <c r="C55" s="63" t="s">
        <v>56</v>
      </c>
      <c r="D55" s="112"/>
      <c r="E55" s="112"/>
      <c r="F55" s="64"/>
      <c r="G55" s="64"/>
      <c r="H55" s="64"/>
      <c r="I55" s="64"/>
      <c r="J55" s="64"/>
      <c r="K55" s="64"/>
      <c r="L55" s="64"/>
      <c r="M55" s="64"/>
      <c r="N55" s="65"/>
    </row>
    <row r="56" spans="2:14" ht="15" thickBot="1">
      <c r="B56" s="62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5"/>
    </row>
    <row r="57" spans="2:14" ht="24.95" customHeight="1" thickBot="1">
      <c r="B57" s="62"/>
      <c r="C57" s="64"/>
      <c r="D57" s="168" t="s">
        <v>32</v>
      </c>
      <c r="E57" s="169"/>
      <c r="F57" s="71">
        <f>改正前詳細計算!D50</f>
        <v>4037</v>
      </c>
      <c r="G57" s="72" t="s">
        <v>6</v>
      </c>
      <c r="H57" s="64" t="s">
        <v>38</v>
      </c>
      <c r="I57" s="64"/>
      <c r="J57" s="64"/>
      <c r="K57" s="64"/>
      <c r="L57" s="64"/>
      <c r="M57" s="64"/>
      <c r="N57" s="65"/>
    </row>
    <row r="58" spans="2:14" ht="24.95" customHeight="1" thickBot="1">
      <c r="B58" s="62"/>
      <c r="C58" s="64"/>
      <c r="D58" s="168" t="s">
        <v>37</v>
      </c>
      <c r="E58" s="169"/>
      <c r="F58" s="73">
        <f>F44-F57</f>
        <v>-847</v>
      </c>
      <c r="G58" s="74" t="s">
        <v>6</v>
      </c>
      <c r="H58" s="64"/>
      <c r="I58" s="64" t="s">
        <v>92</v>
      </c>
      <c r="J58" s="64"/>
      <c r="K58" s="64"/>
      <c r="L58" s="64"/>
      <c r="M58" s="64"/>
      <c r="N58" s="65"/>
    </row>
    <row r="59" spans="2:14" ht="15" thickBot="1">
      <c r="B59" s="66"/>
      <c r="C59" s="69"/>
      <c r="D59" s="67"/>
      <c r="E59" s="67"/>
      <c r="F59" s="68"/>
      <c r="G59" s="69"/>
      <c r="H59" s="69"/>
      <c r="I59" s="69"/>
      <c r="J59" s="69"/>
      <c r="K59" s="69"/>
      <c r="L59" s="69"/>
      <c r="M59" s="69"/>
      <c r="N59" s="70"/>
    </row>
    <row r="60" spans="2:14" ht="15" thickTop="1">
      <c r="D60" s="42"/>
      <c r="E60" s="42"/>
      <c r="F60" s="56"/>
    </row>
    <row r="61" spans="2:14">
      <c r="D61" s="42"/>
      <c r="E61" s="42"/>
      <c r="F61" s="57"/>
    </row>
  </sheetData>
  <sheetProtection password="CC3D" sheet="1" objects="1" scenarios="1"/>
  <mergeCells count="32">
    <mergeCell ref="D2:F2"/>
    <mergeCell ref="H2:I2"/>
    <mergeCell ref="F34:G34"/>
    <mergeCell ref="C42:C45"/>
    <mergeCell ref="D14:F14"/>
    <mergeCell ref="H14:I14"/>
    <mergeCell ref="D15:E15"/>
    <mergeCell ref="D16:E16"/>
    <mergeCell ref="D23:F23"/>
    <mergeCell ref="H23:I23"/>
    <mergeCell ref="H24:I24"/>
    <mergeCell ref="H25:I25"/>
    <mergeCell ref="D24:F24"/>
    <mergeCell ref="D25:F25"/>
    <mergeCell ref="C32:C35"/>
    <mergeCell ref="D32:E32"/>
    <mergeCell ref="D33:E33"/>
    <mergeCell ref="D34:E34"/>
    <mergeCell ref="D35:E35"/>
    <mergeCell ref="D57:E57"/>
    <mergeCell ref="D58:E58"/>
    <mergeCell ref="D42:E42"/>
    <mergeCell ref="D43:E43"/>
    <mergeCell ref="D44:E44"/>
    <mergeCell ref="D45:E45"/>
    <mergeCell ref="D46:E46"/>
    <mergeCell ref="D47:E47"/>
    <mergeCell ref="D48:E48"/>
    <mergeCell ref="D49:E49"/>
    <mergeCell ref="C50:E50"/>
    <mergeCell ref="C51:E51"/>
    <mergeCell ref="C46:C49"/>
  </mergeCells>
  <phoneticPr fontId="2"/>
  <dataValidations count="3">
    <dataValidation type="list" showInputMessage="1" showErrorMessage="1" sqref="F32">
      <formula1>"13,20,25,30,40,50,75"</formula1>
    </dataValidation>
    <dataValidation type="whole" allowBlank="1" showInputMessage="1" showErrorMessage="1" sqref="F33">
      <formula1>1</formula1>
      <formula2>100000</formula2>
    </dataValidation>
    <dataValidation type="list" allowBlank="1" showInputMessage="1" showErrorMessage="1" sqref="F34">
      <formula1>"公共下水道,農村下水道"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48"/>
  <sheetViews>
    <sheetView workbookViewId="0">
      <selection activeCell="Q5" sqref="Q5"/>
    </sheetView>
  </sheetViews>
  <sheetFormatPr defaultRowHeight="18.75"/>
  <cols>
    <col min="1" max="1" width="4.625" customWidth="1"/>
    <col min="2" max="2" width="4.625" style="14" customWidth="1"/>
    <col min="4" max="4" width="13.625" customWidth="1"/>
    <col min="5" max="5" width="2.625" customWidth="1"/>
    <col min="9" max="9" width="2.625" customWidth="1"/>
    <col min="14" max="14" width="11.625" bestFit="1" customWidth="1"/>
    <col min="15" max="15" width="3.875" customWidth="1"/>
    <col min="16" max="16" width="18.625" customWidth="1"/>
  </cols>
  <sheetData>
    <row r="2" spans="2:17" ht="19.5" thickBot="1">
      <c r="C2" s="2" t="s">
        <v>26</v>
      </c>
      <c r="D2" s="3"/>
      <c r="E2" s="3"/>
      <c r="F2" s="3"/>
      <c r="G2" s="4"/>
      <c r="H2" s="5"/>
      <c r="I2" s="3"/>
      <c r="J2" s="3"/>
    </row>
    <row r="3" spans="2:17">
      <c r="B3" s="220">
        <v>13</v>
      </c>
      <c r="C3" s="27" t="s">
        <v>29</v>
      </c>
      <c r="D3" s="38">
        <f>IF(B3=計算表!$F$32,計算表!$F$33,0)</f>
        <v>20</v>
      </c>
      <c r="E3" s="15"/>
      <c r="F3" s="16" t="s">
        <v>18</v>
      </c>
      <c r="G3" s="16" t="s">
        <v>19</v>
      </c>
      <c r="H3" s="17" t="s">
        <v>20</v>
      </c>
      <c r="I3" s="15"/>
      <c r="J3" s="18" t="s">
        <v>24</v>
      </c>
      <c r="L3" s="194" t="s">
        <v>80</v>
      </c>
      <c r="M3" s="195"/>
      <c r="N3" s="196"/>
      <c r="O3" s="40"/>
      <c r="P3" s="194" t="s">
        <v>81</v>
      </c>
      <c r="Q3" s="196"/>
    </row>
    <row r="4" spans="2:17" ht="19.5" thickBot="1">
      <c r="B4" s="221"/>
      <c r="C4" s="28" t="s">
        <v>21</v>
      </c>
      <c r="D4" s="142">
        <f>IF(B3=計算表!$F$32,N5,0)</f>
        <v>3190</v>
      </c>
      <c r="E4" s="3"/>
      <c r="F4" s="6">
        <v>1</v>
      </c>
      <c r="G4" s="6">
        <v>20</v>
      </c>
      <c r="H4" s="141">
        <v>0</v>
      </c>
      <c r="I4" s="3"/>
      <c r="J4" s="19">
        <f t="shared" ref="J4:J9" si="0">MAX((MIN(G4,D$3)-F4+1)*H4,0)</f>
        <v>0</v>
      </c>
      <c r="L4" s="104" t="s">
        <v>89</v>
      </c>
      <c r="M4" s="160" t="s">
        <v>85</v>
      </c>
      <c r="N4" s="161" t="s">
        <v>73</v>
      </c>
      <c r="O4" s="40"/>
      <c r="P4" s="104" t="s">
        <v>2</v>
      </c>
      <c r="Q4" s="161" t="s">
        <v>86</v>
      </c>
    </row>
    <row r="5" spans="2:17">
      <c r="B5" s="221"/>
      <c r="C5" s="29" t="s">
        <v>22</v>
      </c>
      <c r="D5" s="142">
        <f>IF($D$3="","",SUM(J4:J9))</f>
        <v>0</v>
      </c>
      <c r="E5" s="3"/>
      <c r="F5" s="6">
        <v>21</v>
      </c>
      <c r="G5" s="6">
        <v>50</v>
      </c>
      <c r="H5" s="141">
        <f>Q5</f>
        <v>154</v>
      </c>
      <c r="I5" s="3"/>
      <c r="J5" s="19">
        <f>MAX((MIN(G5,D$3)-F5+1)*H5,0)</f>
        <v>0</v>
      </c>
      <c r="L5" s="89">
        <v>13</v>
      </c>
      <c r="M5" s="90">
        <v>20</v>
      </c>
      <c r="N5" s="135">
        <f>ROUNDDOWN(計算表!F4+(計算表!F4*計算表!$D$39),2)</f>
        <v>3190</v>
      </c>
      <c r="O5" s="40"/>
      <c r="P5" s="89" t="s">
        <v>33</v>
      </c>
      <c r="Q5" s="136">
        <f>ROUNDDOWN(計算表!I4+(計算表!I4*計算表!D$39),2)</f>
        <v>154</v>
      </c>
    </row>
    <row r="6" spans="2:17">
      <c r="B6" s="221"/>
      <c r="C6" s="30" t="s">
        <v>23</v>
      </c>
      <c r="D6" s="58">
        <f>ROUNDDOWN(D4+D5,0)</f>
        <v>3190</v>
      </c>
      <c r="E6" s="3"/>
      <c r="F6" s="6">
        <v>51</v>
      </c>
      <c r="G6" s="6">
        <v>100</v>
      </c>
      <c r="H6" s="141">
        <f t="shared" ref="H6:H9" si="1">Q6</f>
        <v>165</v>
      </c>
      <c r="I6" s="3"/>
      <c r="J6" s="19">
        <f t="shared" si="0"/>
        <v>0</v>
      </c>
      <c r="L6" s="92">
        <v>20</v>
      </c>
      <c r="M6" s="93">
        <v>30</v>
      </c>
      <c r="N6" s="135">
        <f>ROUNDDOWN(計算表!F5+(計算表!F5*計算表!$D$39),2)</f>
        <v>6380</v>
      </c>
      <c r="O6" s="40"/>
      <c r="P6" s="92" t="s">
        <v>34</v>
      </c>
      <c r="Q6" s="136">
        <f>ROUNDDOWN(計算表!I5+(計算表!I5*計算表!D$39),2)</f>
        <v>165</v>
      </c>
    </row>
    <row r="7" spans="2:17">
      <c r="B7" s="221"/>
      <c r="C7" s="30" t="s">
        <v>87</v>
      </c>
      <c r="D7" s="58">
        <f>INT(D6*計算表!D$39*100/(計算表!D$39*100+100))</f>
        <v>290</v>
      </c>
      <c r="E7" s="3"/>
      <c r="F7" s="9">
        <v>101</v>
      </c>
      <c r="G7" s="9">
        <v>200</v>
      </c>
      <c r="H7" s="141">
        <f t="shared" si="1"/>
        <v>187</v>
      </c>
      <c r="I7" s="3"/>
      <c r="J7" s="19">
        <f t="shared" si="0"/>
        <v>0</v>
      </c>
      <c r="L7" s="92">
        <v>25</v>
      </c>
      <c r="M7" s="93">
        <v>50</v>
      </c>
      <c r="N7" s="135">
        <f>ROUNDDOWN(計算表!F6+(計算表!F6*計算表!$D$39),2)</f>
        <v>11000</v>
      </c>
      <c r="O7" s="40"/>
      <c r="P7" s="92" t="s">
        <v>35</v>
      </c>
      <c r="Q7" s="136">
        <f>ROUNDDOWN(計算表!I6+(計算表!I6*計算表!D$39),2)</f>
        <v>187</v>
      </c>
    </row>
    <row r="8" spans="2:17">
      <c r="B8" s="221"/>
      <c r="C8" s="3"/>
      <c r="D8" s="11"/>
      <c r="E8" s="3"/>
      <c r="F8" s="6">
        <v>201</v>
      </c>
      <c r="G8" s="6">
        <v>500</v>
      </c>
      <c r="H8" s="141">
        <f t="shared" si="1"/>
        <v>198</v>
      </c>
      <c r="I8" s="3"/>
      <c r="J8" s="19">
        <f t="shared" si="0"/>
        <v>0</v>
      </c>
      <c r="L8" s="92">
        <v>30</v>
      </c>
      <c r="M8" s="93">
        <v>70</v>
      </c>
      <c r="N8" s="135">
        <f>ROUNDDOWN(計算表!F7+(計算表!F7*計算表!$D$39),2)</f>
        <v>15400</v>
      </c>
      <c r="O8" s="40"/>
      <c r="P8" s="92" t="s">
        <v>36</v>
      </c>
      <c r="Q8" s="136">
        <f>ROUNDDOWN(計算表!I7+(計算表!I7*計算表!D$39),2)</f>
        <v>198</v>
      </c>
    </row>
    <row r="9" spans="2:17" ht="19.5" thickBot="1">
      <c r="B9" s="222"/>
      <c r="C9" s="20"/>
      <c r="D9" s="39"/>
      <c r="E9" s="20"/>
      <c r="F9" s="21">
        <v>501</v>
      </c>
      <c r="G9" s="21">
        <v>100000</v>
      </c>
      <c r="H9" s="141">
        <f t="shared" si="1"/>
        <v>209</v>
      </c>
      <c r="I9" s="20"/>
      <c r="J9" s="22">
        <f t="shared" si="0"/>
        <v>0</v>
      </c>
      <c r="L9" s="92">
        <v>40</v>
      </c>
      <c r="M9" s="93">
        <v>100</v>
      </c>
      <c r="N9" s="135">
        <f>ROUNDDOWN(計算表!F8+(計算表!F8*計算表!$D$39),2)</f>
        <v>22000</v>
      </c>
      <c r="O9" s="40"/>
      <c r="P9" s="95" t="s">
        <v>4</v>
      </c>
      <c r="Q9" s="137">
        <f>ROUNDDOWN(計算表!I8+(計算表!I8*計算表!D$39),2)</f>
        <v>209</v>
      </c>
    </row>
    <row r="10" spans="2:17">
      <c r="B10" s="220">
        <v>20</v>
      </c>
      <c r="C10" s="27" t="s">
        <v>29</v>
      </c>
      <c r="D10" s="38">
        <f>IF(B10=計算表!$F$32,計算表!$F$33,0)</f>
        <v>0</v>
      </c>
      <c r="E10" s="15"/>
      <c r="F10" s="16" t="s">
        <v>18</v>
      </c>
      <c r="G10" s="16" t="s">
        <v>19</v>
      </c>
      <c r="H10" s="17" t="s">
        <v>20</v>
      </c>
      <c r="I10" s="15"/>
      <c r="J10" s="18" t="s">
        <v>24</v>
      </c>
      <c r="L10" s="92">
        <v>50</v>
      </c>
      <c r="M10" s="93">
        <v>500</v>
      </c>
      <c r="N10" s="135">
        <f>ROUNDDOWN(計算表!F9+(計算表!F9*計算表!$D$39),2)</f>
        <v>110000</v>
      </c>
      <c r="O10" s="40"/>
      <c r="P10" s="40"/>
      <c r="Q10" s="40"/>
    </row>
    <row r="11" spans="2:17" ht="19.5" thickBot="1">
      <c r="B11" s="221"/>
      <c r="C11" s="28" t="s">
        <v>21</v>
      </c>
      <c r="D11" s="142">
        <f>IF(B10=計算表!$F$32,N6,0)</f>
        <v>0</v>
      </c>
      <c r="E11" s="3"/>
      <c r="F11" s="6">
        <v>1</v>
      </c>
      <c r="G11" s="6">
        <v>30</v>
      </c>
      <c r="H11" s="141">
        <v>0</v>
      </c>
      <c r="I11" s="3"/>
      <c r="J11" s="19">
        <f t="shared" ref="J11:J16" si="2">MAX((MIN(G11,D$10)-F11+1)*H11,0)</f>
        <v>0</v>
      </c>
      <c r="L11" s="95">
        <v>75</v>
      </c>
      <c r="M11" s="96">
        <v>1000</v>
      </c>
      <c r="N11" s="138">
        <f>ROUNDDOWN(計算表!F10+(計算表!F10*計算表!$D$39),2)</f>
        <v>220000</v>
      </c>
      <c r="O11" s="40"/>
      <c r="P11" s="40"/>
      <c r="Q11" s="40"/>
    </row>
    <row r="12" spans="2:17">
      <c r="B12" s="221"/>
      <c r="C12" s="29" t="s">
        <v>22</v>
      </c>
      <c r="D12" s="142">
        <f>IF($D$10="","",SUM(J11:J16))</f>
        <v>0</v>
      </c>
      <c r="E12" s="3"/>
      <c r="F12" s="6">
        <v>31</v>
      </c>
      <c r="G12" s="6">
        <v>50</v>
      </c>
      <c r="H12" s="141">
        <f>Q5</f>
        <v>154</v>
      </c>
      <c r="I12" s="3"/>
      <c r="J12" s="19">
        <f t="shared" si="2"/>
        <v>0</v>
      </c>
    </row>
    <row r="13" spans="2:17">
      <c r="B13" s="221"/>
      <c r="C13" s="30" t="s">
        <v>23</v>
      </c>
      <c r="D13" s="58">
        <f>ROUNDDOWN(D11+D12,0)</f>
        <v>0</v>
      </c>
      <c r="E13" s="3"/>
      <c r="F13" s="6">
        <v>51</v>
      </c>
      <c r="G13" s="6">
        <v>100</v>
      </c>
      <c r="H13" s="141">
        <f t="shared" ref="H13:H16" si="3">Q6</f>
        <v>165</v>
      </c>
      <c r="I13" s="3"/>
      <c r="J13" s="19">
        <f t="shared" si="2"/>
        <v>0</v>
      </c>
    </row>
    <row r="14" spans="2:17">
      <c r="B14" s="221"/>
      <c r="C14" s="30" t="s">
        <v>87</v>
      </c>
      <c r="D14" s="58">
        <f>INT(D13*計算表!D$39*100/(計算表!D$39*100+100))</f>
        <v>0</v>
      </c>
      <c r="E14" s="3"/>
      <c r="F14" s="9">
        <v>101</v>
      </c>
      <c r="G14" s="9">
        <v>200</v>
      </c>
      <c r="H14" s="141">
        <f t="shared" si="3"/>
        <v>187</v>
      </c>
      <c r="I14" s="3"/>
      <c r="J14" s="19">
        <f t="shared" si="2"/>
        <v>0</v>
      </c>
    </row>
    <row r="15" spans="2:17">
      <c r="B15" s="221"/>
      <c r="C15" s="3"/>
      <c r="D15" s="11"/>
      <c r="E15" s="3"/>
      <c r="F15" s="6">
        <v>201</v>
      </c>
      <c r="G15" s="6">
        <v>500</v>
      </c>
      <c r="H15" s="141">
        <f t="shared" si="3"/>
        <v>198</v>
      </c>
      <c r="I15" s="3"/>
      <c r="J15" s="19">
        <f t="shared" si="2"/>
        <v>0</v>
      </c>
    </row>
    <row r="16" spans="2:17" ht="19.5" thickBot="1">
      <c r="B16" s="222"/>
      <c r="C16" s="20"/>
      <c r="D16" s="39"/>
      <c r="E16" s="20"/>
      <c r="F16" s="21">
        <v>501</v>
      </c>
      <c r="G16" s="21">
        <v>100000</v>
      </c>
      <c r="H16" s="141">
        <f t="shared" si="3"/>
        <v>209</v>
      </c>
      <c r="I16" s="20"/>
      <c r="J16" s="22">
        <f t="shared" si="2"/>
        <v>0</v>
      </c>
    </row>
    <row r="17" spans="2:10">
      <c r="B17" s="220">
        <v>25</v>
      </c>
      <c r="C17" s="27" t="s">
        <v>29</v>
      </c>
      <c r="D17" s="38">
        <f>IF(B17=計算表!$F$32,計算表!$F$33,0)</f>
        <v>0</v>
      </c>
      <c r="E17" s="15"/>
      <c r="F17" s="16" t="s">
        <v>18</v>
      </c>
      <c r="G17" s="16" t="s">
        <v>19</v>
      </c>
      <c r="H17" s="17" t="s">
        <v>20</v>
      </c>
      <c r="I17" s="15"/>
      <c r="J17" s="18" t="s">
        <v>24</v>
      </c>
    </row>
    <row r="18" spans="2:10">
      <c r="B18" s="221"/>
      <c r="C18" s="28" t="s">
        <v>21</v>
      </c>
      <c r="D18" s="142">
        <f>IF(B17=計算表!$F$32,N7,0)</f>
        <v>0</v>
      </c>
      <c r="E18" s="3"/>
      <c r="F18" s="6">
        <v>1</v>
      </c>
      <c r="G18" s="6">
        <v>51</v>
      </c>
      <c r="H18" s="141">
        <v>0</v>
      </c>
      <c r="I18" s="3"/>
      <c r="J18" s="19">
        <f>MAX((MIN(G18,D$17)-F18+1)*H18,0)</f>
        <v>0</v>
      </c>
    </row>
    <row r="19" spans="2:10">
      <c r="B19" s="221"/>
      <c r="C19" s="29" t="s">
        <v>22</v>
      </c>
      <c r="D19" s="142">
        <f>IF($D$17="","",SUM(J18:J22))</f>
        <v>0</v>
      </c>
      <c r="E19" s="3"/>
      <c r="F19" s="6">
        <v>51</v>
      </c>
      <c r="G19" s="6">
        <v>100</v>
      </c>
      <c r="H19" s="141">
        <f>Q6</f>
        <v>165</v>
      </c>
      <c r="I19" s="3"/>
      <c r="J19" s="19">
        <f>MAX((MIN(G19,D$17)-F19+1)*H19,0)</f>
        <v>0</v>
      </c>
    </row>
    <row r="20" spans="2:10">
      <c r="B20" s="221"/>
      <c r="C20" s="30" t="s">
        <v>23</v>
      </c>
      <c r="D20" s="58">
        <f>ROUNDDOWN(D18+D19,0)</f>
        <v>0</v>
      </c>
      <c r="E20" s="3"/>
      <c r="F20" s="9">
        <v>101</v>
      </c>
      <c r="G20" s="9">
        <v>200</v>
      </c>
      <c r="H20" s="141">
        <f t="shared" ref="H20:H22" si="4">Q7</f>
        <v>187</v>
      </c>
      <c r="I20" s="3"/>
      <c r="J20" s="19">
        <f>MAX((MIN(G20,D$17)-F20+1)*H20,0)</f>
        <v>0</v>
      </c>
    </row>
    <row r="21" spans="2:10">
      <c r="B21" s="221"/>
      <c r="C21" s="30" t="s">
        <v>87</v>
      </c>
      <c r="D21" s="58">
        <f>INT(D20*計算表!D$39*100/(計算表!D$39*100+100))</f>
        <v>0</v>
      </c>
      <c r="E21" s="3"/>
      <c r="F21" s="6">
        <v>201</v>
      </c>
      <c r="G21" s="6">
        <v>500</v>
      </c>
      <c r="H21" s="141">
        <f t="shared" si="4"/>
        <v>198</v>
      </c>
      <c r="I21" s="3"/>
      <c r="J21" s="19">
        <f>MAX((MIN(G21,D$17)-F21+1)*H21,0)</f>
        <v>0</v>
      </c>
    </row>
    <row r="22" spans="2:10" ht="19.5" thickBot="1">
      <c r="B22" s="222"/>
      <c r="C22" s="20"/>
      <c r="D22" s="39"/>
      <c r="E22" s="20"/>
      <c r="F22" s="21">
        <v>501</v>
      </c>
      <c r="G22" s="21">
        <v>100000</v>
      </c>
      <c r="H22" s="141">
        <f t="shared" si="4"/>
        <v>209</v>
      </c>
      <c r="I22" s="20"/>
      <c r="J22" s="22">
        <f>MAX((MIN(G22,D$17)-F22+1)*H22,0)</f>
        <v>0</v>
      </c>
    </row>
    <row r="23" spans="2:10">
      <c r="B23" s="220">
        <v>30</v>
      </c>
      <c r="C23" s="27" t="s">
        <v>29</v>
      </c>
      <c r="D23" s="38">
        <f>IF(B23=計算表!$F$32,計算表!$F$33,0)</f>
        <v>0</v>
      </c>
      <c r="E23" s="15"/>
      <c r="F23" s="16" t="s">
        <v>18</v>
      </c>
      <c r="G23" s="16" t="s">
        <v>19</v>
      </c>
      <c r="H23" s="17" t="s">
        <v>20</v>
      </c>
      <c r="I23" s="15"/>
      <c r="J23" s="18" t="s">
        <v>24</v>
      </c>
    </row>
    <row r="24" spans="2:10">
      <c r="B24" s="221"/>
      <c r="C24" s="28" t="s">
        <v>21</v>
      </c>
      <c r="D24" s="142">
        <f>IF(B23=計算表!$F$32,N8,0)</f>
        <v>0</v>
      </c>
      <c r="E24" s="3"/>
      <c r="F24" s="6">
        <v>1</v>
      </c>
      <c r="G24" s="6">
        <v>71</v>
      </c>
      <c r="H24" s="141">
        <v>0</v>
      </c>
      <c r="I24" s="3"/>
      <c r="J24" s="19">
        <f>MAX((MIN(G24,D$23)-F24+1)*H24,0)</f>
        <v>0</v>
      </c>
    </row>
    <row r="25" spans="2:10">
      <c r="B25" s="221"/>
      <c r="C25" s="29" t="s">
        <v>22</v>
      </c>
      <c r="D25" s="142">
        <f>IF($D$23="","",SUM(J24:J28))</f>
        <v>0</v>
      </c>
      <c r="E25" s="3"/>
      <c r="F25" s="6">
        <v>71</v>
      </c>
      <c r="G25" s="6">
        <v>100</v>
      </c>
      <c r="H25" s="141">
        <f>Q6</f>
        <v>165</v>
      </c>
      <c r="I25" s="3"/>
      <c r="J25" s="19">
        <f t="shared" ref="J25:J28" si="5">MAX((MIN(G25,D$23)-F25+1)*H25,0)</f>
        <v>0</v>
      </c>
    </row>
    <row r="26" spans="2:10">
      <c r="B26" s="221"/>
      <c r="C26" s="30" t="s">
        <v>23</v>
      </c>
      <c r="D26" s="58">
        <f>ROUNDDOWN(D24+D25,0)</f>
        <v>0</v>
      </c>
      <c r="E26" s="3"/>
      <c r="F26" s="9">
        <v>101</v>
      </c>
      <c r="G26" s="9">
        <v>200</v>
      </c>
      <c r="H26" s="141">
        <f t="shared" ref="H26:H28" si="6">Q7</f>
        <v>187</v>
      </c>
      <c r="I26" s="3"/>
      <c r="J26" s="19">
        <f t="shared" si="5"/>
        <v>0</v>
      </c>
    </row>
    <row r="27" spans="2:10">
      <c r="B27" s="221"/>
      <c r="C27" s="30" t="s">
        <v>87</v>
      </c>
      <c r="D27" s="58">
        <f>INT(D26*計算表!D$39*100/(計算表!D$39*100+100))</f>
        <v>0</v>
      </c>
      <c r="E27" s="3"/>
      <c r="F27" s="6">
        <v>201</v>
      </c>
      <c r="G27" s="6">
        <v>500</v>
      </c>
      <c r="H27" s="141">
        <f t="shared" si="6"/>
        <v>198</v>
      </c>
      <c r="I27" s="3"/>
      <c r="J27" s="19">
        <f t="shared" si="5"/>
        <v>0</v>
      </c>
    </row>
    <row r="28" spans="2:10" ht="19.5" thickBot="1">
      <c r="B28" s="222"/>
      <c r="C28" s="20"/>
      <c r="D28" s="39"/>
      <c r="E28" s="20"/>
      <c r="F28" s="21">
        <v>501</v>
      </c>
      <c r="G28" s="21">
        <v>100000</v>
      </c>
      <c r="H28" s="141">
        <f t="shared" si="6"/>
        <v>209</v>
      </c>
      <c r="I28" s="20"/>
      <c r="J28" s="22">
        <f t="shared" si="5"/>
        <v>0</v>
      </c>
    </row>
    <row r="29" spans="2:10">
      <c r="B29" s="220">
        <v>40</v>
      </c>
      <c r="C29" s="27" t="s">
        <v>29</v>
      </c>
      <c r="D29" s="38">
        <f>IF(B29=計算表!$F$32,計算表!$F$33,0)</f>
        <v>0</v>
      </c>
      <c r="E29" s="15"/>
      <c r="F29" s="16" t="s">
        <v>18</v>
      </c>
      <c r="G29" s="16" t="s">
        <v>19</v>
      </c>
      <c r="H29" s="17" t="s">
        <v>20</v>
      </c>
      <c r="I29" s="15"/>
      <c r="J29" s="18" t="s">
        <v>24</v>
      </c>
    </row>
    <row r="30" spans="2:10">
      <c r="B30" s="221"/>
      <c r="C30" s="28" t="s">
        <v>21</v>
      </c>
      <c r="D30" s="142">
        <f>IF(B29=計算表!$F$32,N9,0)</f>
        <v>0</v>
      </c>
      <c r="E30" s="3"/>
      <c r="F30" s="6">
        <v>1</v>
      </c>
      <c r="G30" s="6">
        <v>100</v>
      </c>
      <c r="H30" s="141">
        <v>0</v>
      </c>
      <c r="I30" s="3"/>
      <c r="J30" s="19">
        <f>MAX((MIN(G30,D$29)-F30+1)*H30,0)</f>
        <v>0</v>
      </c>
    </row>
    <row r="31" spans="2:10">
      <c r="B31" s="221"/>
      <c r="C31" s="29" t="s">
        <v>22</v>
      </c>
      <c r="D31" s="142">
        <f>IF($D$29="","",SUM(J30:J33))</f>
        <v>0</v>
      </c>
      <c r="E31" s="3"/>
      <c r="F31" s="9">
        <v>101</v>
      </c>
      <c r="G31" s="9">
        <v>200</v>
      </c>
      <c r="H31" s="141">
        <f>Q7</f>
        <v>187</v>
      </c>
      <c r="I31" s="3"/>
      <c r="J31" s="19">
        <f t="shared" ref="J31:J33" si="7">MAX((MIN(G31,D$29)-F31+1)*H31,0)</f>
        <v>0</v>
      </c>
    </row>
    <row r="32" spans="2:10">
      <c r="B32" s="221"/>
      <c r="C32" s="30" t="s">
        <v>23</v>
      </c>
      <c r="D32" s="58">
        <f>ROUNDDOWN(D30+D31,0)</f>
        <v>0</v>
      </c>
      <c r="E32" s="3"/>
      <c r="F32" s="6">
        <v>201</v>
      </c>
      <c r="G32" s="6">
        <v>500</v>
      </c>
      <c r="H32" s="141">
        <f t="shared" ref="H32:H33" si="8">Q8</f>
        <v>198</v>
      </c>
      <c r="I32" s="3"/>
      <c r="J32" s="19">
        <f t="shared" si="7"/>
        <v>0</v>
      </c>
    </row>
    <row r="33" spans="2:10" ht="19.5" thickBot="1">
      <c r="B33" s="222"/>
      <c r="C33" s="30" t="s">
        <v>87</v>
      </c>
      <c r="D33" s="58">
        <f>INT(D32*計算表!D$39*100/(計算表!D$39*100+100))</f>
        <v>0</v>
      </c>
      <c r="E33" s="20"/>
      <c r="F33" s="21">
        <v>501</v>
      </c>
      <c r="G33" s="21">
        <v>100000</v>
      </c>
      <c r="H33" s="141">
        <f t="shared" si="8"/>
        <v>209</v>
      </c>
      <c r="I33" s="20"/>
      <c r="J33" s="22">
        <f t="shared" si="7"/>
        <v>0</v>
      </c>
    </row>
    <row r="34" spans="2:10">
      <c r="B34" s="220">
        <v>50</v>
      </c>
      <c r="C34" s="27" t="s">
        <v>29</v>
      </c>
      <c r="D34" s="38">
        <f>IF(B34=計算表!$F$32,計算表!$F$33,0)</f>
        <v>0</v>
      </c>
      <c r="E34" s="15"/>
      <c r="F34" s="16" t="s">
        <v>18</v>
      </c>
      <c r="G34" s="16" t="s">
        <v>19</v>
      </c>
      <c r="H34" s="17" t="s">
        <v>20</v>
      </c>
      <c r="I34" s="15"/>
      <c r="J34" s="18" t="s">
        <v>24</v>
      </c>
    </row>
    <row r="35" spans="2:10">
      <c r="B35" s="221"/>
      <c r="C35" s="28" t="s">
        <v>21</v>
      </c>
      <c r="D35" s="142">
        <f>IF(B34=計算表!$F$32,N10,0)</f>
        <v>0</v>
      </c>
      <c r="E35" s="3"/>
      <c r="F35" s="6">
        <v>1</v>
      </c>
      <c r="G35" s="6">
        <v>500</v>
      </c>
      <c r="H35" s="141">
        <v>0</v>
      </c>
      <c r="I35" s="3"/>
      <c r="J35" s="19">
        <f>MAX((MIN(G35,D$29)-F35+1)*H35,0)</f>
        <v>0</v>
      </c>
    </row>
    <row r="36" spans="2:10">
      <c r="B36" s="221"/>
      <c r="C36" s="29" t="s">
        <v>22</v>
      </c>
      <c r="D36" s="142">
        <f>IF($D$34="","",SUM(J35:J36))</f>
        <v>0</v>
      </c>
      <c r="E36" s="3"/>
      <c r="F36" s="10">
        <v>501</v>
      </c>
      <c r="G36" s="10">
        <v>100000</v>
      </c>
      <c r="H36" s="141">
        <f>Q9</f>
        <v>209</v>
      </c>
      <c r="I36" s="3"/>
      <c r="J36" s="19">
        <f>MAX((MIN(G36,D$34)-F36+1)*H36,0)</f>
        <v>0</v>
      </c>
    </row>
    <row r="37" spans="2:10">
      <c r="B37" s="221"/>
      <c r="C37" s="30" t="s">
        <v>23</v>
      </c>
      <c r="D37" s="58">
        <f>ROUNDDOWN(D35+D36,0)</f>
        <v>0</v>
      </c>
      <c r="E37" s="3"/>
      <c r="F37" s="12"/>
      <c r="G37" s="12"/>
      <c r="H37" s="13"/>
      <c r="I37" s="11"/>
      <c r="J37" s="24"/>
    </row>
    <row r="38" spans="2:10" ht="19.5" thickBot="1">
      <c r="B38" s="222"/>
      <c r="C38" s="30" t="s">
        <v>87</v>
      </c>
      <c r="D38" s="58">
        <f>INT(D37*計算表!D$39*100/(計算表!D$39*100+100))</f>
        <v>0</v>
      </c>
      <c r="E38" s="20"/>
      <c r="F38" s="25"/>
      <c r="G38" s="25"/>
      <c r="H38" s="25"/>
      <c r="I38" s="25"/>
      <c r="J38" s="26"/>
    </row>
    <row r="39" spans="2:10">
      <c r="B39" s="220">
        <v>75</v>
      </c>
      <c r="C39" s="27" t="s">
        <v>29</v>
      </c>
      <c r="D39" s="38">
        <f>IF(B39=計算表!$F$32,計算表!$F$33,0)</f>
        <v>0</v>
      </c>
      <c r="E39" s="15"/>
      <c r="F39" s="16" t="s">
        <v>18</v>
      </c>
      <c r="G39" s="16" t="s">
        <v>19</v>
      </c>
      <c r="H39" s="17" t="s">
        <v>20</v>
      </c>
      <c r="I39" s="15"/>
      <c r="J39" s="18" t="s">
        <v>24</v>
      </c>
    </row>
    <row r="40" spans="2:10">
      <c r="B40" s="221"/>
      <c r="C40" s="28" t="s">
        <v>21</v>
      </c>
      <c r="D40" s="142">
        <f>IF(B39=計算表!$F$32,N11,0)</f>
        <v>0</v>
      </c>
      <c r="E40" s="3"/>
      <c r="F40" s="6">
        <v>1</v>
      </c>
      <c r="G40" s="6">
        <v>1000</v>
      </c>
      <c r="H40" s="141">
        <v>0</v>
      </c>
      <c r="I40" s="3"/>
      <c r="J40" s="19">
        <f>MAX((MIN(G40,D$29)-F40+1)*H40,0)</f>
        <v>0</v>
      </c>
    </row>
    <row r="41" spans="2:10">
      <c r="B41" s="221"/>
      <c r="C41" s="29" t="s">
        <v>22</v>
      </c>
      <c r="D41" s="142">
        <f>IF($D$39="","",SUM(J40:J41))</f>
        <v>0</v>
      </c>
      <c r="E41" s="3"/>
      <c r="F41" s="10">
        <v>1001</v>
      </c>
      <c r="G41" s="10">
        <v>100000</v>
      </c>
      <c r="H41" s="141">
        <f>Q9</f>
        <v>209</v>
      </c>
      <c r="I41" s="3"/>
      <c r="J41" s="19">
        <f>MAX((MIN(G41,D$39)-F41+1)*H41,0)</f>
        <v>0</v>
      </c>
    </row>
    <row r="42" spans="2:10">
      <c r="B42" s="221"/>
      <c r="C42" s="30" t="s">
        <v>23</v>
      </c>
      <c r="D42" s="58">
        <f>ROUNDDOWN(D40+D41,0)</f>
        <v>0</v>
      </c>
      <c r="E42" s="3"/>
      <c r="F42" s="12"/>
      <c r="G42" s="12"/>
      <c r="H42" s="13"/>
      <c r="I42" s="11"/>
      <c r="J42" s="24"/>
    </row>
    <row r="43" spans="2:10" ht="19.5" thickBot="1">
      <c r="B43" s="222"/>
      <c r="C43" s="31" t="s">
        <v>87</v>
      </c>
      <c r="D43" s="162">
        <f>INT(D42*計算表!D$39*100/(計算表!D$39*100+100))</f>
        <v>0</v>
      </c>
      <c r="E43" s="20"/>
      <c r="F43" s="25"/>
      <c r="G43" s="25"/>
      <c r="H43" s="25"/>
      <c r="I43" s="25"/>
      <c r="J43" s="26"/>
    </row>
    <row r="44" spans="2:10" ht="19.5" thickBot="1"/>
    <row r="45" spans="2:10">
      <c r="C45" s="32" t="s">
        <v>21</v>
      </c>
      <c r="D45" s="33">
        <f>D4+D11+D18+D24+D30+D35+D40</f>
        <v>3190</v>
      </c>
    </row>
    <row r="46" spans="2:10">
      <c r="C46" s="34" t="s">
        <v>22</v>
      </c>
      <c r="D46" s="35">
        <f>D5+D12+D19+D25+D31+D36+D41</f>
        <v>0</v>
      </c>
    </row>
    <row r="47" spans="2:10">
      <c r="C47" s="34" t="s">
        <v>23</v>
      </c>
      <c r="D47" s="35">
        <f>D6+D13+D20+D26+D32+D37+D42</f>
        <v>3190</v>
      </c>
    </row>
    <row r="48" spans="2:10" ht="19.5" thickBot="1">
      <c r="C48" s="36" t="s">
        <v>87</v>
      </c>
      <c r="D48" s="37">
        <f>D7+D14+D21+D27+D33+D38+D43</f>
        <v>290</v>
      </c>
    </row>
  </sheetData>
  <mergeCells count="9">
    <mergeCell ref="L3:N3"/>
    <mergeCell ref="P3:Q3"/>
    <mergeCell ref="B39:B43"/>
    <mergeCell ref="B3:B9"/>
    <mergeCell ref="B10:B16"/>
    <mergeCell ref="B17:B22"/>
    <mergeCell ref="B23:B28"/>
    <mergeCell ref="B29:B33"/>
    <mergeCell ref="B34:B38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50"/>
  <sheetViews>
    <sheetView workbookViewId="0">
      <selection activeCell="D4" sqref="D4"/>
    </sheetView>
  </sheetViews>
  <sheetFormatPr defaultRowHeight="18.75"/>
  <cols>
    <col min="1" max="1" width="4.625" customWidth="1"/>
    <col min="2" max="2" width="4.625" style="14" customWidth="1"/>
    <col min="3" max="3" width="12.625" customWidth="1"/>
    <col min="4" max="4" width="13.625" customWidth="1"/>
    <col min="5" max="5" width="2.625" customWidth="1"/>
    <col min="7" max="7" width="9.5" bestFit="1" customWidth="1"/>
    <col min="9" max="9" width="2.625" customWidth="1"/>
  </cols>
  <sheetData>
    <row r="2" spans="2:12" ht="19.5" thickBot="1">
      <c r="C2" s="2" t="s">
        <v>26</v>
      </c>
      <c r="D2" s="3"/>
      <c r="E2" s="3"/>
      <c r="F2" s="3"/>
      <c r="G2" s="4"/>
      <c r="H2" s="5"/>
      <c r="I2" s="3"/>
      <c r="J2" s="3"/>
    </row>
    <row r="3" spans="2:12">
      <c r="B3" s="220">
        <v>13</v>
      </c>
      <c r="C3" s="27" t="s">
        <v>29</v>
      </c>
      <c r="D3" s="38">
        <f>IF(B3=計算表!$F$32,計算表!$F$33,0)</f>
        <v>20</v>
      </c>
      <c r="E3" s="15"/>
      <c r="F3" s="16" t="s">
        <v>18</v>
      </c>
      <c r="G3" s="16" t="s">
        <v>19</v>
      </c>
      <c r="H3" s="17" t="s">
        <v>20</v>
      </c>
      <c r="I3" s="15"/>
      <c r="J3" s="18" t="s">
        <v>24</v>
      </c>
      <c r="L3" s="40"/>
    </row>
    <row r="4" spans="2:12">
      <c r="B4" s="221"/>
      <c r="C4" s="28" t="s">
        <v>21</v>
      </c>
      <c r="D4" s="142">
        <f>IF(B3=計算表!$F$32,3000,0)</f>
        <v>3000</v>
      </c>
      <c r="E4" s="3"/>
      <c r="F4" s="6">
        <v>1</v>
      </c>
      <c r="G4" s="6">
        <v>15</v>
      </c>
      <c r="H4" s="141">
        <v>0</v>
      </c>
      <c r="I4" s="3"/>
      <c r="J4" s="19">
        <f t="shared" ref="J4:J5" si="0">MAX((MIN(G4,D$3)-F4+1)*H4,0)</f>
        <v>0</v>
      </c>
      <c r="L4" s="40"/>
    </row>
    <row r="5" spans="2:12">
      <c r="B5" s="221"/>
      <c r="C5" s="29" t="s">
        <v>22</v>
      </c>
      <c r="D5" s="142">
        <f>IF($D$3="","",SUM(J4:J5))</f>
        <v>625</v>
      </c>
      <c r="E5" s="3"/>
      <c r="F5" s="6">
        <v>16</v>
      </c>
      <c r="G5" s="6">
        <v>100000</v>
      </c>
      <c r="H5" s="141">
        <v>125</v>
      </c>
      <c r="I5" s="3"/>
      <c r="J5" s="19">
        <f t="shared" si="0"/>
        <v>625</v>
      </c>
      <c r="L5" s="40"/>
    </row>
    <row r="6" spans="2:12">
      <c r="B6" s="221"/>
      <c r="C6" s="30" t="s">
        <v>91</v>
      </c>
      <c r="D6" s="142">
        <f>ROUNDDOWN(SUM(D4+D5)*計算表!D$39,0)</f>
        <v>362</v>
      </c>
      <c r="E6" s="3"/>
      <c r="F6" s="49"/>
      <c r="G6" s="49"/>
      <c r="H6" s="52"/>
      <c r="I6" s="11"/>
      <c r="J6" s="24"/>
      <c r="L6" s="40"/>
    </row>
    <row r="7" spans="2:12">
      <c r="B7" s="221"/>
      <c r="C7" s="30" t="s">
        <v>30</v>
      </c>
      <c r="D7" s="142">
        <f>IF(B3=計算表!$F$32,50,0)</f>
        <v>50</v>
      </c>
      <c r="E7" s="3"/>
      <c r="F7" s="54"/>
      <c r="G7" s="54"/>
      <c r="H7" s="52"/>
      <c r="I7" s="11"/>
      <c r="J7" s="24"/>
      <c r="L7" s="40"/>
    </row>
    <row r="8" spans="2:12" ht="19.5" thickBot="1">
      <c r="B8" s="222"/>
      <c r="C8" s="30" t="s">
        <v>23</v>
      </c>
      <c r="D8" s="58">
        <f>SUM(D4:D7)</f>
        <v>4037</v>
      </c>
      <c r="E8" s="3"/>
      <c r="F8" s="54"/>
      <c r="G8" s="54"/>
      <c r="H8" s="52"/>
      <c r="I8" s="11"/>
      <c r="J8" s="24"/>
      <c r="L8" s="40"/>
    </row>
    <row r="9" spans="2:12">
      <c r="B9" s="220">
        <v>20</v>
      </c>
      <c r="C9" s="27" t="s">
        <v>29</v>
      </c>
      <c r="D9" s="38">
        <f>IF(B9=計算表!$F$32,計算表!$F$33,0)</f>
        <v>0</v>
      </c>
      <c r="E9" s="15"/>
      <c r="F9" s="16" t="s">
        <v>18</v>
      </c>
      <c r="G9" s="16" t="s">
        <v>19</v>
      </c>
      <c r="H9" s="17" t="s">
        <v>20</v>
      </c>
      <c r="I9" s="15"/>
      <c r="J9" s="18" t="s">
        <v>24</v>
      </c>
      <c r="L9" s="40"/>
    </row>
    <row r="10" spans="2:12">
      <c r="B10" s="221"/>
      <c r="C10" s="28" t="s">
        <v>21</v>
      </c>
      <c r="D10" s="142">
        <f>IF(B9=計算表!$F$32,6000,0)</f>
        <v>0</v>
      </c>
      <c r="E10" s="3"/>
      <c r="F10" s="6">
        <v>1</v>
      </c>
      <c r="G10" s="6">
        <v>30</v>
      </c>
      <c r="H10" s="141">
        <v>0</v>
      </c>
      <c r="I10" s="3"/>
      <c r="J10" s="19">
        <f>MAX((MIN(G10,D$9)-F10+1)*H10,0)</f>
        <v>0</v>
      </c>
      <c r="L10" s="40"/>
    </row>
    <row r="11" spans="2:12">
      <c r="B11" s="221"/>
      <c r="C11" s="29" t="s">
        <v>22</v>
      </c>
      <c r="D11" s="142">
        <f>IF($D$9="","",SUM(J10:J11))</f>
        <v>0</v>
      </c>
      <c r="E11" s="3"/>
      <c r="F11" s="6">
        <v>31</v>
      </c>
      <c r="G11" s="6">
        <v>100000</v>
      </c>
      <c r="H11" s="141">
        <v>125</v>
      </c>
      <c r="I11" s="3"/>
      <c r="J11" s="19">
        <f>MAX((MIN(G11,D$9)-F11+1)*H11,0)</f>
        <v>0</v>
      </c>
      <c r="L11" s="40"/>
    </row>
    <row r="12" spans="2:12">
      <c r="B12" s="221"/>
      <c r="C12" s="30" t="s">
        <v>91</v>
      </c>
      <c r="D12" s="142">
        <f>ROUNDDOWN(SUM(D10+D11)*計算表!D$39,0)</f>
        <v>0</v>
      </c>
      <c r="E12" s="3"/>
      <c r="F12" s="49"/>
      <c r="G12" s="49"/>
      <c r="H12" s="52"/>
      <c r="I12" s="11"/>
      <c r="J12" s="24"/>
    </row>
    <row r="13" spans="2:12">
      <c r="B13" s="221"/>
      <c r="C13" s="30" t="s">
        <v>30</v>
      </c>
      <c r="D13" s="142">
        <f>IF(B9=計算表!$F$32,100,0)</f>
        <v>0</v>
      </c>
      <c r="E13" s="3"/>
      <c r="F13" s="54"/>
      <c r="G13" s="54"/>
      <c r="H13" s="52"/>
      <c r="I13" s="11"/>
      <c r="J13" s="24"/>
    </row>
    <row r="14" spans="2:12" ht="19.5" thickBot="1">
      <c r="B14" s="222"/>
      <c r="C14" s="30" t="s">
        <v>23</v>
      </c>
      <c r="D14" s="58">
        <f>SUM(D10:D13)</f>
        <v>0</v>
      </c>
      <c r="E14" s="3"/>
      <c r="F14" s="54"/>
      <c r="G14" s="54"/>
      <c r="H14" s="52"/>
      <c r="I14" s="11"/>
      <c r="J14" s="24"/>
    </row>
    <row r="15" spans="2:12">
      <c r="B15" s="220">
        <v>25</v>
      </c>
      <c r="C15" s="27" t="s">
        <v>29</v>
      </c>
      <c r="D15" s="38">
        <f>IF(B15=計算表!$F$32,計算表!$F$33,0)</f>
        <v>0</v>
      </c>
      <c r="E15" s="15"/>
      <c r="F15" s="16" t="s">
        <v>18</v>
      </c>
      <c r="G15" s="16" t="s">
        <v>19</v>
      </c>
      <c r="H15" s="17" t="s">
        <v>20</v>
      </c>
      <c r="I15" s="15"/>
      <c r="J15" s="18" t="s">
        <v>24</v>
      </c>
    </row>
    <row r="16" spans="2:12">
      <c r="B16" s="221"/>
      <c r="C16" s="28" t="s">
        <v>21</v>
      </c>
      <c r="D16" s="142">
        <f>IF(B15=計算表!$F$32,10000,0)</f>
        <v>0</v>
      </c>
      <c r="E16" s="3"/>
      <c r="F16" s="6">
        <v>1</v>
      </c>
      <c r="G16" s="6">
        <v>51</v>
      </c>
      <c r="H16" s="141">
        <v>0</v>
      </c>
      <c r="I16" s="3"/>
      <c r="J16" s="19">
        <f>MAX((MIN(G16,D$15)-F16+1)*H16,0)</f>
        <v>0</v>
      </c>
    </row>
    <row r="17" spans="2:10">
      <c r="B17" s="221"/>
      <c r="C17" s="29" t="s">
        <v>22</v>
      </c>
      <c r="D17" s="142">
        <f>IF($D$15="","",SUM(J16:J17))</f>
        <v>0</v>
      </c>
      <c r="E17" s="3"/>
      <c r="F17" s="6">
        <v>51</v>
      </c>
      <c r="G17" s="6">
        <v>100000</v>
      </c>
      <c r="H17" s="141">
        <v>130</v>
      </c>
      <c r="I17" s="3"/>
      <c r="J17" s="19">
        <f>MAX((MIN(G17,D$15)-F17+1)*H17,0)</f>
        <v>0</v>
      </c>
    </row>
    <row r="18" spans="2:10">
      <c r="B18" s="221"/>
      <c r="C18" s="30" t="s">
        <v>91</v>
      </c>
      <c r="D18" s="142">
        <f>ROUNDDOWN(SUM(D16+D17)*計算表!D$39,0)</f>
        <v>0</v>
      </c>
      <c r="E18" s="3"/>
      <c r="F18" s="49"/>
      <c r="G18" s="49"/>
      <c r="H18" s="52"/>
      <c r="I18" s="11"/>
      <c r="J18" s="24"/>
    </row>
    <row r="19" spans="2:10">
      <c r="B19" s="221"/>
      <c r="C19" s="30" t="s">
        <v>30</v>
      </c>
      <c r="D19" s="142">
        <f>IF(B15=計算表!$F$32,150,0)</f>
        <v>0</v>
      </c>
      <c r="E19" s="3"/>
      <c r="F19" s="54"/>
      <c r="G19" s="54"/>
      <c r="H19" s="52"/>
      <c r="I19" s="11"/>
      <c r="J19" s="24"/>
    </row>
    <row r="20" spans="2:10" ht="19.5" thickBot="1">
      <c r="B20" s="222"/>
      <c r="C20" s="30" t="s">
        <v>23</v>
      </c>
      <c r="D20" s="58">
        <f>SUM(D16:D19)</f>
        <v>0</v>
      </c>
      <c r="E20" s="3"/>
      <c r="F20" s="54"/>
      <c r="G20" s="54"/>
      <c r="H20" s="52"/>
      <c r="I20" s="11"/>
      <c r="J20" s="24"/>
    </row>
    <row r="21" spans="2:10">
      <c r="B21" s="220">
        <v>30</v>
      </c>
      <c r="C21" s="27" t="s">
        <v>29</v>
      </c>
      <c r="D21" s="38">
        <f>IF(B21=計算表!$F$32,計算表!$F$33,0)</f>
        <v>0</v>
      </c>
      <c r="E21" s="15"/>
      <c r="F21" s="16" t="s">
        <v>18</v>
      </c>
      <c r="G21" s="16" t="s">
        <v>19</v>
      </c>
      <c r="H21" s="17" t="s">
        <v>20</v>
      </c>
      <c r="I21" s="15"/>
      <c r="J21" s="18" t="s">
        <v>24</v>
      </c>
    </row>
    <row r="22" spans="2:10">
      <c r="B22" s="221"/>
      <c r="C22" s="28" t="s">
        <v>21</v>
      </c>
      <c r="D22" s="142">
        <f>IF(B21=計算表!$F$32,14000,0)</f>
        <v>0</v>
      </c>
      <c r="E22" s="3"/>
      <c r="F22" s="6">
        <v>1</v>
      </c>
      <c r="G22" s="6">
        <v>71</v>
      </c>
      <c r="H22" s="141">
        <v>0</v>
      </c>
      <c r="I22" s="3"/>
      <c r="J22" s="19">
        <f>MAX((MIN(G22,D$21)-F22+1)*H22,0)</f>
        <v>0</v>
      </c>
    </row>
    <row r="23" spans="2:10">
      <c r="B23" s="221"/>
      <c r="C23" s="29" t="s">
        <v>22</v>
      </c>
      <c r="D23" s="142">
        <f>IF($D$21="","",SUM(J22:J23))</f>
        <v>0</v>
      </c>
      <c r="E23" s="3"/>
      <c r="F23" s="6">
        <v>71</v>
      </c>
      <c r="G23" s="6">
        <v>100000</v>
      </c>
      <c r="H23" s="141">
        <v>130</v>
      </c>
      <c r="I23" s="3"/>
      <c r="J23" s="19">
        <f t="shared" ref="J23" si="1">MAX((MIN(G23,D$21)-F23+1)*H23,0)</f>
        <v>0</v>
      </c>
    </row>
    <row r="24" spans="2:10">
      <c r="B24" s="221"/>
      <c r="C24" s="30" t="s">
        <v>91</v>
      </c>
      <c r="D24" s="142">
        <f>ROUNDDOWN(SUM(D22+D23)*計算表!D$39,0)</f>
        <v>0</v>
      </c>
      <c r="E24" s="3"/>
      <c r="F24" s="49"/>
      <c r="G24" s="49"/>
      <c r="H24" s="52"/>
      <c r="I24" s="11"/>
      <c r="J24" s="24"/>
    </row>
    <row r="25" spans="2:10">
      <c r="B25" s="221"/>
      <c r="C25" s="30" t="s">
        <v>30</v>
      </c>
      <c r="D25" s="142">
        <f>IF(B21=計算表!$F$32,250,0)</f>
        <v>0</v>
      </c>
      <c r="E25" s="3"/>
      <c r="F25" s="54"/>
      <c r="G25" s="54"/>
      <c r="H25" s="52"/>
      <c r="I25" s="11"/>
      <c r="J25" s="24"/>
    </row>
    <row r="26" spans="2:10" ht="19.5" thickBot="1">
      <c r="B26" s="222"/>
      <c r="C26" s="30" t="s">
        <v>23</v>
      </c>
      <c r="D26" s="58">
        <f>SUM(D22:D25)</f>
        <v>0</v>
      </c>
      <c r="E26" s="3"/>
      <c r="F26" s="54"/>
      <c r="G26" s="54"/>
      <c r="H26" s="52"/>
      <c r="I26" s="11"/>
      <c r="J26" s="24"/>
    </row>
    <row r="27" spans="2:10">
      <c r="B27" s="220">
        <v>40</v>
      </c>
      <c r="C27" s="27" t="s">
        <v>29</v>
      </c>
      <c r="D27" s="38">
        <f>IF(B27=計算表!$F$32,計算表!$F$33,0)</f>
        <v>0</v>
      </c>
      <c r="E27" s="15"/>
      <c r="F27" s="16" t="s">
        <v>18</v>
      </c>
      <c r="G27" s="16" t="s">
        <v>19</v>
      </c>
      <c r="H27" s="17" t="s">
        <v>20</v>
      </c>
      <c r="I27" s="15"/>
      <c r="J27" s="18" t="s">
        <v>24</v>
      </c>
    </row>
    <row r="28" spans="2:10">
      <c r="B28" s="221"/>
      <c r="C28" s="28" t="s">
        <v>21</v>
      </c>
      <c r="D28" s="142">
        <f>IF(B27=計算表!$F$32,20000,0)</f>
        <v>0</v>
      </c>
      <c r="E28" s="3"/>
      <c r="F28" s="6">
        <v>1</v>
      </c>
      <c r="G28" s="6">
        <v>100</v>
      </c>
      <c r="H28" s="141">
        <v>0</v>
      </c>
      <c r="I28" s="3"/>
      <c r="J28" s="19">
        <f>MAX((MIN(G28,D$27)-F28+1)*H28,0)</f>
        <v>0</v>
      </c>
    </row>
    <row r="29" spans="2:10">
      <c r="B29" s="221"/>
      <c r="C29" s="29" t="s">
        <v>22</v>
      </c>
      <c r="D29" s="142">
        <f>IF($D$27="","",SUM(J28:J29))</f>
        <v>0</v>
      </c>
      <c r="E29" s="3"/>
      <c r="F29" s="9">
        <v>101</v>
      </c>
      <c r="G29" s="9">
        <v>100000</v>
      </c>
      <c r="H29" s="141">
        <v>130</v>
      </c>
      <c r="I29" s="3"/>
      <c r="J29" s="19">
        <f t="shared" ref="J29" si="2">MAX((MIN(G29,D$27)-F29+1)*H29,0)</f>
        <v>0</v>
      </c>
    </row>
    <row r="30" spans="2:10">
      <c r="B30" s="221"/>
      <c r="C30" s="30" t="s">
        <v>91</v>
      </c>
      <c r="D30" s="142">
        <f>ROUNDDOWN(SUM(D28+D29)*計算表!D$39,0)</f>
        <v>0</v>
      </c>
      <c r="E30" s="3"/>
      <c r="F30" s="49"/>
      <c r="G30" s="49"/>
      <c r="H30" s="52"/>
      <c r="I30" s="11"/>
      <c r="J30" s="24"/>
    </row>
    <row r="31" spans="2:10">
      <c r="B31" s="221"/>
      <c r="C31" s="30" t="s">
        <v>30</v>
      </c>
      <c r="D31" s="142">
        <f>IF(B27=計算表!$F$32,400,0)</f>
        <v>0</v>
      </c>
      <c r="E31" s="3"/>
      <c r="F31" s="54"/>
      <c r="G31" s="54"/>
      <c r="H31" s="52"/>
      <c r="I31" s="11"/>
      <c r="J31" s="24"/>
    </row>
    <row r="32" spans="2:10" ht="19.5" thickBot="1">
      <c r="B32" s="222"/>
      <c r="C32" s="30" t="s">
        <v>23</v>
      </c>
      <c r="D32" s="58">
        <f>SUM(D28:D31)</f>
        <v>0</v>
      </c>
      <c r="E32" s="20"/>
      <c r="F32" s="53"/>
      <c r="G32" s="53"/>
      <c r="H32" s="50"/>
      <c r="I32" s="39"/>
      <c r="J32" s="51"/>
    </row>
    <row r="33" spans="2:10">
      <c r="B33" s="220">
        <v>50</v>
      </c>
      <c r="C33" s="27" t="s">
        <v>29</v>
      </c>
      <c r="D33" s="38">
        <f>IF(B33=計算表!$F$32,計算表!$F$33,0)</f>
        <v>0</v>
      </c>
      <c r="E33" s="15"/>
      <c r="F33" s="16" t="s">
        <v>18</v>
      </c>
      <c r="G33" s="16" t="s">
        <v>19</v>
      </c>
      <c r="H33" s="17" t="s">
        <v>20</v>
      </c>
      <c r="I33" s="15"/>
      <c r="J33" s="18" t="s">
        <v>24</v>
      </c>
    </row>
    <row r="34" spans="2:10">
      <c r="B34" s="221"/>
      <c r="C34" s="28" t="s">
        <v>21</v>
      </c>
      <c r="D34" s="142">
        <f>IF(B33=計算表!$F$32,100000,0)</f>
        <v>0</v>
      </c>
      <c r="E34" s="3"/>
      <c r="F34" s="6">
        <v>1</v>
      </c>
      <c r="G34" s="6">
        <v>500</v>
      </c>
      <c r="H34" s="141">
        <v>0</v>
      </c>
      <c r="I34" s="3"/>
      <c r="J34" s="19">
        <f>MAX((MIN(G34,D$27)-F34+1)*H34,0)</f>
        <v>0</v>
      </c>
    </row>
    <row r="35" spans="2:10">
      <c r="B35" s="221"/>
      <c r="C35" s="29" t="s">
        <v>22</v>
      </c>
      <c r="D35" s="142">
        <f>IF($D$33="","",SUM(J34:J35))</f>
        <v>0</v>
      </c>
      <c r="E35" s="3"/>
      <c r="F35" s="10">
        <v>501</v>
      </c>
      <c r="G35" s="10">
        <v>100000</v>
      </c>
      <c r="H35" s="141">
        <v>135</v>
      </c>
      <c r="I35" s="3"/>
      <c r="J35" s="19">
        <f>MAX((MIN(G35,D$33)-F35+1)*H35,0)</f>
        <v>0</v>
      </c>
    </row>
    <row r="36" spans="2:10">
      <c r="B36" s="221"/>
      <c r="C36" s="30" t="s">
        <v>91</v>
      </c>
      <c r="D36" s="142">
        <f>ROUNDDOWN(SUM(D34+D35)*計算表!D$39,0)</f>
        <v>0</v>
      </c>
      <c r="E36" s="3"/>
      <c r="F36" s="12"/>
      <c r="G36" s="12"/>
      <c r="H36" s="13"/>
      <c r="I36" s="11"/>
      <c r="J36" s="24"/>
    </row>
    <row r="37" spans="2:10">
      <c r="B37" s="221"/>
      <c r="C37" s="30" t="s">
        <v>30</v>
      </c>
      <c r="D37" s="142">
        <f>IF(B33=計算表!$F$32,600,0)</f>
        <v>0</v>
      </c>
      <c r="E37" s="3"/>
      <c r="F37" s="54"/>
      <c r="G37" s="54"/>
      <c r="H37" s="52"/>
      <c r="I37" s="11"/>
      <c r="J37" s="24"/>
    </row>
    <row r="38" spans="2:10" ht="19.5" thickBot="1">
      <c r="B38" s="222"/>
      <c r="C38" s="30" t="s">
        <v>23</v>
      </c>
      <c r="D38" s="58">
        <f>SUM(D34:D37)</f>
        <v>0</v>
      </c>
      <c r="E38" s="20"/>
      <c r="F38" s="25"/>
      <c r="G38" s="25"/>
      <c r="H38" s="25"/>
      <c r="I38" s="25"/>
      <c r="J38" s="26"/>
    </row>
    <row r="39" spans="2:10">
      <c r="B39" s="220">
        <v>75</v>
      </c>
      <c r="C39" s="27" t="s">
        <v>29</v>
      </c>
      <c r="D39" s="38">
        <f>IF(B39=計算表!$F$32,計算表!$F$33,0)</f>
        <v>0</v>
      </c>
      <c r="E39" s="15"/>
      <c r="F39" s="16" t="s">
        <v>18</v>
      </c>
      <c r="G39" s="16" t="s">
        <v>19</v>
      </c>
      <c r="H39" s="17" t="s">
        <v>20</v>
      </c>
      <c r="I39" s="15"/>
      <c r="J39" s="18" t="s">
        <v>24</v>
      </c>
    </row>
    <row r="40" spans="2:10">
      <c r="B40" s="221"/>
      <c r="C40" s="28" t="s">
        <v>21</v>
      </c>
      <c r="D40" s="142">
        <f>IF(B39=計算表!$F$32,200000,0)</f>
        <v>0</v>
      </c>
      <c r="E40" s="3"/>
      <c r="F40" s="6">
        <v>1</v>
      </c>
      <c r="G40" s="6">
        <v>1000</v>
      </c>
      <c r="H40" s="141">
        <v>0</v>
      </c>
      <c r="I40" s="3"/>
      <c r="J40" s="19">
        <f>MAX((MIN(G40,D$27)-F40+1)*H40,0)</f>
        <v>0</v>
      </c>
    </row>
    <row r="41" spans="2:10">
      <c r="B41" s="221"/>
      <c r="C41" s="29" t="s">
        <v>22</v>
      </c>
      <c r="D41" s="142">
        <f>IF($D$39="","",SUM(J40:J41))</f>
        <v>0</v>
      </c>
      <c r="E41" s="3"/>
      <c r="F41" s="10">
        <v>1001</v>
      </c>
      <c r="G41" s="10">
        <v>100000</v>
      </c>
      <c r="H41" s="141">
        <v>135</v>
      </c>
      <c r="I41" s="3"/>
      <c r="J41" s="19">
        <f>MAX((MIN(G41,D$39)-F41+1)*H41,0)</f>
        <v>0</v>
      </c>
    </row>
    <row r="42" spans="2:10">
      <c r="B42" s="221"/>
      <c r="C42" s="30" t="s">
        <v>91</v>
      </c>
      <c r="D42" s="142">
        <f>ROUNDDOWN(SUM(D40+D41)*計算表!D$39,0)</f>
        <v>0</v>
      </c>
      <c r="E42" s="3"/>
      <c r="F42" s="12"/>
      <c r="G42" s="12"/>
      <c r="H42" s="13"/>
      <c r="I42" s="11"/>
      <c r="J42" s="24"/>
    </row>
    <row r="43" spans="2:10">
      <c r="B43" s="221"/>
      <c r="C43" s="30" t="s">
        <v>30</v>
      </c>
      <c r="D43" s="142">
        <f>IF(B39=計算表!$F$32,850,0)</f>
        <v>0</v>
      </c>
      <c r="E43" s="3"/>
      <c r="F43" s="54"/>
      <c r="G43" s="54"/>
      <c r="H43" s="52"/>
      <c r="I43" s="11"/>
      <c r="J43" s="24"/>
    </row>
    <row r="44" spans="2:10" ht="19.5" thickBot="1">
      <c r="B44" s="222"/>
      <c r="C44" s="31" t="s">
        <v>23</v>
      </c>
      <c r="D44" s="162">
        <f>SUM(D40:D43)</f>
        <v>0</v>
      </c>
      <c r="E44" s="20"/>
      <c r="F44" s="25"/>
      <c r="G44" s="25"/>
      <c r="H44" s="25"/>
      <c r="I44" s="25"/>
      <c r="J44" s="26"/>
    </row>
    <row r="45" spans="2:10" ht="19.5" thickBot="1"/>
    <row r="46" spans="2:10">
      <c r="C46" s="32" t="s">
        <v>21</v>
      </c>
      <c r="D46" s="163">
        <f>D4+D10+CA16+D16+D22+D28+D34+D40</f>
        <v>3000</v>
      </c>
    </row>
    <row r="47" spans="2:10">
      <c r="C47" s="34" t="s">
        <v>22</v>
      </c>
      <c r="D47" s="35">
        <f>D5+D11+CA17+D17+D23+D29+D35+D41</f>
        <v>625</v>
      </c>
    </row>
    <row r="48" spans="2:10">
      <c r="C48" s="34" t="s">
        <v>31</v>
      </c>
      <c r="D48" s="35">
        <f>D6+D12+CA18+D18+D24+D30+D36+D42</f>
        <v>362</v>
      </c>
    </row>
    <row r="49" spans="3:4">
      <c r="C49" s="55" t="s">
        <v>23</v>
      </c>
      <c r="D49" s="35">
        <f>D7+D13+CA19+D19+D25+D31+D37+D43</f>
        <v>50</v>
      </c>
    </row>
    <row r="50" spans="3:4" ht="19.5" thickBot="1">
      <c r="C50" s="36" t="s">
        <v>90</v>
      </c>
      <c r="D50" s="37">
        <f>D8+D14+CA20+D20+D26+D32+D38+D44</f>
        <v>4037</v>
      </c>
    </row>
  </sheetData>
  <mergeCells count="7">
    <mergeCell ref="B39:B44"/>
    <mergeCell ref="B3:B8"/>
    <mergeCell ref="B9:B14"/>
    <mergeCell ref="B15:B20"/>
    <mergeCell ref="B21:B26"/>
    <mergeCell ref="B27:B32"/>
    <mergeCell ref="B33:B38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20"/>
  <sheetViews>
    <sheetView workbookViewId="0">
      <selection activeCell="H20" sqref="H20"/>
    </sheetView>
  </sheetViews>
  <sheetFormatPr defaultRowHeight="18.75"/>
  <cols>
    <col min="1" max="1" width="4.625" customWidth="1"/>
    <col min="2" max="2" width="4.625" style="14" customWidth="1"/>
    <col min="3" max="3" width="12.625" customWidth="1"/>
    <col min="4" max="4" width="13.625" customWidth="1"/>
    <col min="5" max="5" width="2.625" customWidth="1"/>
    <col min="7" max="7" width="9.5" bestFit="1" customWidth="1"/>
    <col min="9" max="9" width="2.625" customWidth="1"/>
    <col min="14" max="14" width="9.5" bestFit="1" customWidth="1"/>
    <col min="15" max="15" width="2.625" customWidth="1"/>
    <col min="16" max="16" width="18.625" customWidth="1"/>
  </cols>
  <sheetData>
    <row r="2" spans="2:17" ht="19.5" thickBot="1">
      <c r="C2" s="2" t="s">
        <v>41</v>
      </c>
      <c r="D2" s="3"/>
      <c r="E2" s="3"/>
      <c r="F2" s="3"/>
      <c r="G2" s="4"/>
      <c r="H2" s="5"/>
      <c r="I2" s="3"/>
      <c r="J2" s="3"/>
    </row>
    <row r="3" spans="2:17">
      <c r="B3" s="223" t="s">
        <v>42</v>
      </c>
      <c r="C3" s="27" t="s">
        <v>29</v>
      </c>
      <c r="D3" s="38">
        <f>IF(B3=計算表!$F$34,計算表!$F$33,0)</f>
        <v>20</v>
      </c>
      <c r="E3" s="15"/>
      <c r="F3" s="16" t="s">
        <v>18</v>
      </c>
      <c r="G3" s="16" t="s">
        <v>19</v>
      </c>
      <c r="H3" s="17" t="s">
        <v>20</v>
      </c>
      <c r="I3" s="15"/>
      <c r="J3" s="18" t="s">
        <v>24</v>
      </c>
      <c r="L3" s="202" t="s">
        <v>80</v>
      </c>
      <c r="M3" s="203"/>
      <c r="N3" s="204"/>
      <c r="O3" s="40"/>
      <c r="P3" s="202" t="s">
        <v>81</v>
      </c>
      <c r="Q3" s="204"/>
    </row>
    <row r="4" spans="2:17" ht="19.5" thickBot="1">
      <c r="B4" s="224"/>
      <c r="C4" s="28" t="s">
        <v>21</v>
      </c>
      <c r="D4" s="142">
        <f>IF(B3=計算表!$F$34,N5,0)</f>
        <v>1980</v>
      </c>
      <c r="E4" s="3"/>
      <c r="F4" s="6">
        <v>1</v>
      </c>
      <c r="G4" s="6">
        <v>15</v>
      </c>
      <c r="H4" s="7">
        <v>0</v>
      </c>
      <c r="I4" s="3"/>
      <c r="J4" s="143">
        <f>MAX((MIN(G4,D$3)-F4+1)*H4,0)</f>
        <v>0</v>
      </c>
      <c r="L4" s="205" t="s">
        <v>85</v>
      </c>
      <c r="M4" s="206"/>
      <c r="N4" s="111" t="s">
        <v>73</v>
      </c>
      <c r="O4" s="40"/>
      <c r="P4" s="106" t="s">
        <v>2</v>
      </c>
      <c r="Q4" s="149" t="s">
        <v>86</v>
      </c>
    </row>
    <row r="5" spans="2:17" ht="19.5" thickBot="1">
      <c r="B5" s="224"/>
      <c r="C5" s="29" t="s">
        <v>22</v>
      </c>
      <c r="D5" s="142">
        <f>IF($D$3="","",SUM(J4:J8))</f>
        <v>687.5</v>
      </c>
      <c r="E5" s="3"/>
      <c r="F5" s="6">
        <v>16</v>
      </c>
      <c r="G5" s="6">
        <v>50</v>
      </c>
      <c r="H5" s="141">
        <f>Q5</f>
        <v>137.5</v>
      </c>
      <c r="I5" s="3"/>
      <c r="J5" s="143">
        <f t="shared" ref="J5" si="0">MAX((MIN(G5,D$3)-F5+1)*H5,0)</f>
        <v>687.5</v>
      </c>
      <c r="L5" s="207">
        <v>15</v>
      </c>
      <c r="M5" s="208"/>
      <c r="N5" s="139">
        <f>ROUNDDOWN(計算表!F16+(計算表!F16*計算表!D39),2)</f>
        <v>1980</v>
      </c>
      <c r="O5" s="40"/>
      <c r="P5" s="144" t="s">
        <v>83</v>
      </c>
      <c r="Q5" s="147">
        <f>ROUNDDOWN(計算表!I16+(計算表!I16*計算表!D$39),2)</f>
        <v>137.5</v>
      </c>
    </row>
    <row r="6" spans="2:17">
      <c r="B6" s="224"/>
      <c r="C6" s="30" t="s">
        <v>44</v>
      </c>
      <c r="D6" s="142">
        <f>ROUNDDOWN(D4+D5,0)</f>
        <v>2667</v>
      </c>
      <c r="E6" s="3"/>
      <c r="F6" s="6">
        <v>51</v>
      </c>
      <c r="G6" s="6">
        <v>100</v>
      </c>
      <c r="H6" s="141">
        <f>Q6</f>
        <v>143</v>
      </c>
      <c r="I6" s="3"/>
      <c r="J6" s="143">
        <f t="shared" ref="J6:J8" si="1">MAX((MIN(G6,D$3)-F6+1)*H6,0)</f>
        <v>0</v>
      </c>
      <c r="L6" s="42"/>
      <c r="M6" s="42"/>
      <c r="N6" s="84"/>
      <c r="O6" s="40"/>
      <c r="P6" s="146" t="s">
        <v>34</v>
      </c>
      <c r="Q6" s="140">
        <f>ROUNDDOWN(計算表!I17+(計算表!I17*計算表!D$39),2)</f>
        <v>143</v>
      </c>
    </row>
    <row r="7" spans="2:17">
      <c r="B7" s="224"/>
      <c r="C7" s="30" t="s">
        <v>84</v>
      </c>
      <c r="D7" s="58">
        <f>INT(D6*計算表!D$39*100/(計算表!D$39*100+100))</f>
        <v>242</v>
      </c>
      <c r="E7" s="3"/>
      <c r="F7" s="6">
        <v>101</v>
      </c>
      <c r="G7" s="6">
        <v>300</v>
      </c>
      <c r="H7" s="141">
        <f>Q7</f>
        <v>148.5</v>
      </c>
      <c r="I7" s="3"/>
      <c r="J7" s="143">
        <f t="shared" ref="J7" si="2">MAX((MIN(G7,D$3)-F7+1)*H7,0)</f>
        <v>0</v>
      </c>
      <c r="L7" s="42"/>
      <c r="M7" s="42"/>
      <c r="N7" s="84"/>
      <c r="O7" s="40"/>
      <c r="P7" s="107" t="s">
        <v>66</v>
      </c>
      <c r="Q7" s="140">
        <f>ROUNDDOWN(計算表!I18+(計算表!I18*計算表!D$39),2)</f>
        <v>148.5</v>
      </c>
    </row>
    <row r="8" spans="2:17" ht="19.5" thickBot="1">
      <c r="B8" s="224"/>
      <c r="C8" s="30"/>
      <c r="D8" s="142"/>
      <c r="E8" s="3"/>
      <c r="F8" s="10">
        <v>301</v>
      </c>
      <c r="G8" s="10">
        <v>100000</v>
      </c>
      <c r="H8" s="141">
        <f>Q8</f>
        <v>154</v>
      </c>
      <c r="I8" s="3"/>
      <c r="J8" s="143">
        <f t="shared" si="1"/>
        <v>0</v>
      </c>
      <c r="P8" s="109" t="s">
        <v>67</v>
      </c>
      <c r="Q8" s="148">
        <f>ROUNDDOWN(計算表!I19+(計算表!I19*計算表!D$39),2)</f>
        <v>154</v>
      </c>
    </row>
    <row r="9" spans="2:17" ht="19.5" thickBot="1">
      <c r="B9" s="224"/>
      <c r="C9" s="30"/>
      <c r="D9" s="8"/>
      <c r="E9" s="3"/>
      <c r="F9" s="54"/>
      <c r="G9" s="54"/>
      <c r="H9" s="52"/>
      <c r="I9" s="11"/>
      <c r="J9" s="24"/>
    </row>
    <row r="10" spans="2:17">
      <c r="B10" s="223" t="s">
        <v>43</v>
      </c>
      <c r="C10" s="27" t="s">
        <v>46</v>
      </c>
      <c r="D10" s="38">
        <f>IF(B10=計算表!$F$34,計算表!$F$35,0)</f>
        <v>0</v>
      </c>
      <c r="E10" s="15"/>
      <c r="F10" s="16" t="s">
        <v>18</v>
      </c>
      <c r="G10" s="16" t="s">
        <v>19</v>
      </c>
      <c r="H10" s="17" t="s">
        <v>20</v>
      </c>
      <c r="I10" s="15"/>
      <c r="J10" s="18" t="s">
        <v>24</v>
      </c>
      <c r="L10" s="202" t="s">
        <v>80</v>
      </c>
      <c r="M10" s="203"/>
      <c r="N10" s="204"/>
      <c r="O10" s="40"/>
      <c r="P10" s="202" t="s">
        <v>88</v>
      </c>
      <c r="Q10" s="204"/>
    </row>
    <row r="11" spans="2:17" ht="19.5" thickBot="1">
      <c r="B11" s="224"/>
      <c r="C11" s="28" t="s">
        <v>21</v>
      </c>
      <c r="D11" s="142">
        <f>IF(B10=計算表!$F$34,L12,0)</f>
        <v>0</v>
      </c>
      <c r="E11" s="3"/>
      <c r="F11" s="6" t="s">
        <v>45</v>
      </c>
      <c r="G11" s="6"/>
      <c r="H11" s="141">
        <f>P12</f>
        <v>413.6</v>
      </c>
      <c r="I11" s="3"/>
      <c r="J11" s="143">
        <f>D10*H11</f>
        <v>0</v>
      </c>
      <c r="L11" s="205" t="s">
        <v>73</v>
      </c>
      <c r="M11" s="212"/>
      <c r="N11" s="209"/>
      <c r="O11" s="40"/>
      <c r="P11" s="205" t="s">
        <v>74</v>
      </c>
      <c r="Q11" s="209"/>
    </row>
    <row r="12" spans="2:17" ht="19.5" thickBot="1">
      <c r="B12" s="224"/>
      <c r="C12" s="29" t="s">
        <v>52</v>
      </c>
      <c r="D12" s="142">
        <f>IF($D$10="","",SUM(J11))</f>
        <v>0</v>
      </c>
      <c r="E12" s="3"/>
      <c r="F12" s="49"/>
      <c r="G12" s="49"/>
      <c r="H12" s="52"/>
      <c r="I12" s="11"/>
      <c r="J12" s="24"/>
      <c r="L12" s="226">
        <f>ROUNDDOWN(計算表!D25+(計算表!D25*計算表!D39),2)</f>
        <v>1655.5</v>
      </c>
      <c r="M12" s="227"/>
      <c r="N12" s="228"/>
      <c r="O12" s="40"/>
      <c r="P12" s="229">
        <f>ROUNDDOWN(計算表!H25+(計算表!H25*計算表!D39),2)</f>
        <v>413.6</v>
      </c>
      <c r="Q12" s="230"/>
    </row>
    <row r="13" spans="2:17">
      <c r="B13" s="224"/>
      <c r="C13" s="30" t="s">
        <v>44</v>
      </c>
      <c r="D13" s="58">
        <f>ROUNDDOWN(D11+D12,0)</f>
        <v>0</v>
      </c>
      <c r="E13" s="3"/>
      <c r="F13" s="54"/>
      <c r="G13" s="54"/>
      <c r="H13" s="52"/>
      <c r="I13" s="11"/>
      <c r="J13" s="24"/>
    </row>
    <row r="14" spans="2:17">
      <c r="B14" s="224"/>
      <c r="C14" s="30" t="s">
        <v>87</v>
      </c>
      <c r="D14" s="58">
        <f>INT(D13*計算表!D$39*100/(計算表!D$39*100+100))</f>
        <v>0</v>
      </c>
      <c r="E14" s="3"/>
      <c r="F14" s="54"/>
      <c r="G14" s="54"/>
      <c r="H14" s="52"/>
      <c r="I14" s="11"/>
      <c r="J14" s="24"/>
    </row>
    <row r="15" spans="2:17" ht="19.5" thickBot="1">
      <c r="B15" s="225"/>
      <c r="C15" s="31"/>
      <c r="D15" s="23"/>
      <c r="E15" s="20"/>
      <c r="F15" s="53"/>
      <c r="G15" s="53"/>
      <c r="H15" s="50"/>
      <c r="I15" s="39"/>
      <c r="J15" s="51"/>
    </row>
    <row r="16" spans="2:17" ht="19.5" thickBot="1"/>
    <row r="17" spans="3:4">
      <c r="C17" s="32" t="s">
        <v>21</v>
      </c>
      <c r="D17" s="151">
        <f>D4+D11</f>
        <v>1980</v>
      </c>
    </row>
    <row r="18" spans="3:4">
      <c r="C18" s="34" t="s">
        <v>22</v>
      </c>
      <c r="D18" s="152">
        <f>D5+D12</f>
        <v>687.5</v>
      </c>
    </row>
    <row r="19" spans="3:4">
      <c r="C19" s="150" t="s">
        <v>44</v>
      </c>
      <c r="D19" s="153">
        <f>D6+D13</f>
        <v>2667</v>
      </c>
    </row>
    <row r="20" spans="3:4" ht="19.5" thickBot="1">
      <c r="C20" s="36" t="s">
        <v>87</v>
      </c>
      <c r="D20" s="154">
        <f>D7+D14</f>
        <v>242</v>
      </c>
    </row>
  </sheetData>
  <mergeCells count="12">
    <mergeCell ref="B3:B9"/>
    <mergeCell ref="B10:B15"/>
    <mergeCell ref="L3:N3"/>
    <mergeCell ref="P3:Q3"/>
    <mergeCell ref="L4:M4"/>
    <mergeCell ref="L5:M5"/>
    <mergeCell ref="L10:N10"/>
    <mergeCell ref="P10:Q10"/>
    <mergeCell ref="L11:N11"/>
    <mergeCell ref="P11:Q11"/>
    <mergeCell ref="L12:N12"/>
    <mergeCell ref="P12:Q12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計算表</vt:lpstr>
      <vt:lpstr>詳細計算</vt:lpstr>
      <vt:lpstr>改正前詳細計算</vt:lpstr>
      <vt:lpstr>下水道詳細計算</vt:lpstr>
      <vt:lpstr>計算表!Print_Area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竜王町役場</dc:creator>
  <cp:lastModifiedBy>竜王町役場</cp:lastModifiedBy>
  <cp:lastPrinted>2021-10-28T02:36:56Z</cp:lastPrinted>
  <dcterms:created xsi:type="dcterms:W3CDTF">2021-10-04T02:15:46Z</dcterms:created>
  <dcterms:modified xsi:type="dcterms:W3CDTF">2021-10-28T02:49:42Z</dcterms:modified>
</cp:coreProperties>
</file>